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<sst xmlns="http://schemas.openxmlformats.org/spreadsheetml/2006/main" count="112" uniqueCount="100">
  <si>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Franklin Templeton Inc. (BEN)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</si>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</sst>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0.019569502798386873</v>
      </c>
    </row>
    <row r="7" spans="1:2" x14ac:dyDescent="0.25">
      <c r="A7" t="s">
        <v>5</v>
      </c>
      <c r="B7" s="6">
        <v>0.1700258574169678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0.054165939424724426</v>
      </c>
    </row>
    <row r="10" spans="1:2" x14ac:dyDescent="0.25">
      <c r="A10" t="s">
        <v>8</v>
      </c>
      <c r="B10" s="6">
        <v>0.01709342110953234</v>
      </c>
    </row>
    <row r="11" spans="1:2" x14ac:dyDescent="0.25">
      <c r="A11" t="s">
        <v>9</v>
      </c>
      <c r="B11" s="6">
        <v>0.23194400254533884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16.24026586908556</v>
      </c>
    </row>
    <row r="14" spans="1:3" x14ac:dyDescent="0.25">
      <c r="A14" t="s">
        <v>12</v>
      </c>
      <c r="B14" s="6">
        <v>0.087727523816508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1.3819</v>
      </c>
      <c r="C19" s="8" t="s">
        <v>19</v>
      </c>
    </row>
    <row r="20" spans="1:2" x14ac:dyDescent="0.25">
      <c r="A20" t="s">
        <v>20</v>
      </c>
      <c r="B20" s="10">
        <f>B17+B19*B18</f>
        <v>0.1259845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16771617792</v>
      </c>
    </row>
    <row r="23" spans="1:2" x14ac:dyDescent="0.25">
      <c r="A23" t="s">
        <v>24</v>
      </c>
      <c r="B23" s="11">
        <v>13299900000</v>
      </c>
    </row>
    <row r="24" spans="1:2" x14ac:dyDescent="0.25">
      <c r="A24" t="s">
        <v>25</v>
      </c>
      <c r="B24" s="10">
        <f>B22/(B22+B23)</f>
        <v>0.5577243525919332</v>
      </c>
    </row>
    <row r="25" spans="1:2" x14ac:dyDescent="0.25">
      <c r="A25" t="s">
        <v>26</v>
      </c>
      <c r="B25" s="10">
        <f>1-B24</f>
        <v>0.4422756474080668</v>
      </c>
    </row>
    <row r="26" spans="1:2" x14ac:dyDescent="0.25">
      <c r="A26" t="s">
        <v>27</v>
      </c>
      <c r="B26" s="12">
        <f>B24*B20+B25*B21*(1-B8)</f>
        <v>0.087727523816508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8770700000</v>
      </c>
      <c r="C29" s="8" t="s">
        <v>30</v>
      </c>
    </row>
    <row r="30" spans="1:2" x14ac:dyDescent="0.25">
      <c r="A30" t="s">
        <v>31</v>
      </c>
      <c r="B30" s="11">
        <v>9726000000</v>
      </c>
    </row>
    <row r="31" spans="1:2" x14ac:dyDescent="0.25">
      <c r="A31" t="s">
        <v>32</v>
      </c>
      <c r="B31" s="13">
        <v>517400000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0.019569502798386873</v>
      </c>
      <c r="C5" s="10">
        <f>Assumptions!B6</f>
        <v>0.019569502798386873</v>
      </c>
      <c r="D5" s="10">
        <f>Assumptions!B6</f>
        <v>0.019569502798386873</v>
      </c>
      <c r="E5" s="10">
        <f>Assumptions!B6</f>
        <v>0.019569502798386873</v>
      </c>
      <c r="F5" s="10">
        <f>Assumptions!B6</f>
        <v>0.019569502798386873</v>
      </c>
    </row>
    <row r="6" spans="1:6" x14ac:dyDescent="0.25">
      <c r="A6" t="s">
        <v>43</v>
      </c>
      <c r="B6" s="18">
        <f>Assumptions!B29*(1+B5)</f>
        <v>8942338238.193811</v>
      </c>
      <c r="C6" s="18">
        <f>B6*(1+C5)</f>
        <v>9117335351.370268</v>
      </c>
      <c r="D6" s="18">
        <f>C6*(1+D5)</f>
        <v>9295757071.04274</v>
      </c>
      <c r="E6" s="18">
        <f>D6*(1+E5)</f>
        <v>9477670415.057636</v>
      </c>
      <c r="F6" s="18">
        <f>E6*(1+F5)</f>
        <v>9663143712.767296</v>
      </c>
    </row>
    <row r="7" spans="1:6" x14ac:dyDescent="0.25">
      <c r="A7" t="s">
        <v>5</v>
      </c>
      <c r="B7" s="10">
        <f>Assumptions!B7</f>
        <v>0.1700258574169678</v>
      </c>
      <c r="C7" s="10">
        <f>Assumptions!B7</f>
        <v>0.1700258574169678</v>
      </c>
      <c r="D7" s="10">
        <f>Assumptions!B7</f>
        <v>0.1700258574169678</v>
      </c>
      <c r="E7" s="10">
        <f>Assumptions!B7</f>
        <v>0.1700258574169678</v>
      </c>
      <c r="F7" s="10">
        <f>Assumptions!B7</f>
        <v>0.1700258574169678</v>
      </c>
    </row>
    <row r="8" spans="1:6" x14ac:dyDescent="0.25">
      <c r="A8" t="s">
        <v>44</v>
      </c>
      <c r="B8" s="18">
        <f>B6*B7</f>
        <v>1520428726.26144</v>
      </c>
      <c r="C8" s="18">
        <f>C6*C7</f>
        <v>1550182760.4747612</v>
      </c>
      <c r="D8" s="18">
        <f>D6*D7</f>
        <v>1580519066.343883</v>
      </c>
      <c r="E8" s="18">
        <f>E6*E7</f>
        <v>1611449038.6356037</v>
      </c>
      <c r="F8" s="18">
        <f>F6*F7</f>
        <v>1642984295.106641</v>
      </c>
    </row>
    <row r="9" spans="1:6" x14ac:dyDescent="0.25">
      <c r="A9" t="s">
        <v>45</v>
      </c>
      <c r="B9" s="18">
        <f>B8*(1-Assumptions!B8)</f>
        <v>1201138693.7465377</v>
      </c>
      <c r="C9" s="18">
        <f>C8*(1-Assumptions!B8)</f>
        <v>1224644380.7750614</v>
      </c>
      <c r="D9" s="18">
        <f>D8*(1-Assumptions!B8)</f>
        <v>1248610062.4116676</v>
      </c>
      <c r="E9" s="18">
        <f>E8*(1-Assumptions!B8)</f>
        <v>1273044740.522127</v>
      </c>
      <c r="F9" s="18">
        <f>F8*(1-Assumptions!B8)</f>
        <v>1297957593.1342466</v>
      </c>
    </row>
    <row r="10" spans="1:6" x14ac:dyDescent="0.25">
      <c r="A10" t="s">
        <v>46</v>
      </c>
      <c r="B10" s="18">
        <f>B6*Assumptions!B9</f>
        <v>484370151.3254029</v>
      </c>
      <c r="C10" s="18">
        <f>C6*Assumptions!B9</f>
        <v>493849034.35722053</v>
      </c>
      <c r="D10" s="18">
        <f>D6*Assumptions!B9</f>
        <v>503513414.4170548</v>
      </c>
      <c r="E10" s="18">
        <f>E6*Assumptions!B9</f>
        <v>513366921.58951473</v>
      </c>
      <c r="F10" s="18">
        <f>F6*Assumptions!B9</f>
        <v>523413256.99816</v>
      </c>
    </row>
    <row r="11" spans="1:6" x14ac:dyDescent="0.25">
      <c r="A11" t="s">
        <v>47</v>
      </c>
      <c r="B11" s="18">
        <f>-B6*Assumptions!B10</f>
        <v>-152855153.20932034</v>
      </c>
      <c r="C11" s="18">
        <f>-C6*Assumptions!B10</f>
        <v>-155846452.55779797</v>
      </c>
      <c r="D11" s="18">
        <f>-D6*Assumptions!B10</f>
        <v>-158896290.14724648</v>
      </c>
      <c r="E11" s="18">
        <f>-E6*Assumptions!B10</f>
        <v>-162005811.54193634</v>
      </c>
      <c r="F11" s="18">
        <f>-F6*Assumptions!B10</f>
        <v>-165176184.7242612</v>
      </c>
    </row>
    <row r="12" spans="1:6" x14ac:dyDescent="0.25">
      <c r="A12" t="s">
        <v>48</v>
      </c>
      <c r="B12" s="18">
        <f>-(B6-Assumptions!B29)*Assumptions!B11</f>
        <v>-39810459.95650287</v>
      </c>
      <c r="C12" s="18">
        <f>-(C6-B6)*Assumptions!B11</f>
        <v>-40589530.86402696</v>
      </c>
      <c r="D12" s="18">
        <f>-(D6-C6)*Assumptions!B11</f>
        <v>-41383847.80185558</v>
      </c>
      <c r="E12" s="18">
        <f>-(E6-D6)*Assumptions!B11</f>
        <v>-42193709.12722223</v>
      </c>
      <c r="F12" s="18">
        <f>-(F6-E6)*Assumptions!B11</f>
        <v>-43019419.03606167</v>
      </c>
    </row>
    <row r="13" spans="1:6" x14ac:dyDescent="0.25">
      <c r="A13" s="19" t="s">
        <v>49</v>
      </c>
      <c r="B13" s="20">
        <f>B9+B10+B11+B12</f>
        <v>1492843231.9061174</v>
      </c>
      <c r="C13" s="20">
        <f>C9+C10+C11+C12</f>
        <v>1522057431.7104568</v>
      </c>
      <c r="D13" s="20">
        <f>D9+D10+D11+D12</f>
        <v>1551843338.8796206</v>
      </c>
      <c r="E13" s="20">
        <f>E9+E10+E11+E12</f>
        <v>1582212141.442483</v>
      </c>
      <c r="F13" s="20">
        <f>F9+F10+F11+F12</f>
        <v>1613175246.3720837</v>
      </c>
    </row>
    <row r="14" spans="1:6" x14ac:dyDescent="0.25">
      <c r="A14" t="s">
        <v>50</v>
      </c>
      <c r="B14" s="21">
        <f>1/(1+Assumptions!$B$26)^(1-0.5*Assumptions!$B$32)</f>
        <v>0.95882630668968</v>
      </c>
      <c r="C14" s="21">
        <f>1/(1+Assumptions!$B$26)^(2-0.5*Assumptions!$B$32)</f>
        <v>0.881494938480041</v>
      </c>
      <c r="D14" s="21">
        <f>1/(1+Assumptions!$B$26)^(3-0.5*Assumptions!$B$32)</f>
        <v>0.8104005085640759</v>
      </c>
      <c r="E14" s="21">
        <f>1/(1+Assumptions!$B$26)^(4-0.5*Assumptions!$B$32)</f>
        <v>0.745039994686008</v>
      </c>
      <c r="F14" s="21">
        <f>1/(1+Assumptions!$B$26)^(5-0.5*Assumptions!$B$32)</f>
        <v>0.6849509443981772</v>
      </c>
    </row>
    <row r="15" spans="1:6" x14ac:dyDescent="0.25">
      <c r="A15" s="19" t="s">
        <v>51</v>
      </c>
      <c r="B15" s="20">
        <f>B13*B14</f>
        <v>1431377362.515228</v>
      </c>
      <c r="C15" s="20">
        <f>C13*C14</f>
        <v>1341685922.1286983</v>
      </c>
      <c r="D15" s="20">
        <f>D13*D14</f>
        <v>1257614631.039818</v>
      </c>
      <c r="E15" s="20">
        <f>E13*E14</f>
        <v>1178811325.4524448</v>
      </c>
      <c r="F15" s="20">
        <f>F13*F14</f>
        <v>1104945908.4823208</v>
      </c>
    </row>
    <row r="17" spans="1:2" x14ac:dyDescent="0.25">
      <c r="A17" s="22" t="s">
        <v>52</v>
      </c>
      <c r="B17" s="23">
        <f>SUM(B15:F15)</f>
        <v>6314435149.61851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1613175246.3720837</v>
      </c>
    </row>
    <row r="5" spans="1:2" x14ac:dyDescent="0.25">
      <c r="A5" t="s">
        <v>56</v>
      </c>
      <c r="B5" s="18">
        <f>IF(Assumptions!$B$33=0,B4,B4-Forecast!F11-Forecast!F10-Forecast!F12)</f>
        <v>1610511394.4808095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0.2849732776259628</v>
      </c>
    </row>
    <row r="7" spans="1:2" x14ac:dyDescent="0.25">
      <c r="A7" t="s">
        <v>58</v>
      </c>
      <c r="B7" s="18">
        <f>-MAX(Forecast!F9,0)*B6</f>
        <v>-458952710.7391562</v>
      </c>
    </row>
    <row r="8" spans="1:2" x14ac:dyDescent="0.25">
      <c r="A8" t="s">
        <v>59</v>
      </c>
      <c r="B8" s="18">
        <f>IF(OR(Assumptions!$B$33=0,Assumptions!B12&lt;=0),B5,MAX(B5+B7,0))</f>
        <v>1151558683.7416532</v>
      </c>
    </row>
    <row r="9" spans="1:2" x14ac:dyDescent="0.25">
      <c r="A9" t="s">
        <v>60</v>
      </c>
      <c r="B9" s="18">
        <f>B8*(1+Assumptions!B12)/(Assumptions!B26-Assumptions!B12)</f>
        <v>18817061140.3054</v>
      </c>
    </row>
    <row r="10" spans="1:2" x14ac:dyDescent="0.25">
      <c r="A10" t="s">
        <v>61</v>
      </c>
      <c r="B10" s="18">
        <f>B9/(1+Assumptions!B26)^(5-0.5*Assumptions!B32)</f>
        <v>12888763798.850426</v>
      </c>
    </row>
    <row r="11" spans="1:2" x14ac:dyDescent="0.25">
      <c r="A11" t="s">
        <v>62</v>
      </c>
      <c r="B11" s="18">
        <f>Forecast!B17+B10</f>
        <v>19203198948.468937</v>
      </c>
    </row>
    <row r="12" spans="1:2" x14ac:dyDescent="0.25">
      <c r="A12" t="s">
        <v>63</v>
      </c>
      <c r="B12" s="18">
        <f>-Assumptions!B30</f>
        <v>-9726000000</v>
      </c>
    </row>
    <row r="13" spans="1:2" x14ac:dyDescent="0.25">
      <c r="A13" t="s">
        <v>64</v>
      </c>
      <c r="B13" s="18">
        <f>B11+B12</f>
        <v>9477198948.468937</v>
      </c>
    </row>
    <row r="14" spans="1:2" x14ac:dyDescent="0.25">
      <c r="A14" s="19" t="s">
        <v>65</v>
      </c>
      <c r="B14" s="24">
        <f>B13/Assumptions!B31</f>
        <v>18.316967430361302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2166397552.104801</v>
      </c>
    </row>
    <row r="18" spans="1:2" x14ac:dyDescent="0.25">
      <c r="A18" t="s">
        <v>60</v>
      </c>
      <c r="B18" s="18">
        <f>B17*Assumptions!B13</f>
        <v>35182872224.318115</v>
      </c>
    </row>
    <row r="19" spans="1:2" x14ac:dyDescent="0.25">
      <c r="A19" t="s">
        <v>61</v>
      </c>
      <c r="B19" s="18">
        <f>B18/(1+Assumptions!B26)^(5-0.5*Assumptions!B32)</f>
        <v>24098541556.687088</v>
      </c>
    </row>
    <row r="20" spans="1:2" x14ac:dyDescent="0.25">
      <c r="A20" t="s">
        <v>62</v>
      </c>
      <c r="B20" s="18">
        <f>Forecast!B17+B19</f>
        <v>30412976706.3056</v>
      </c>
    </row>
    <row r="21" spans="1:2" x14ac:dyDescent="0.25">
      <c r="A21" t="s">
        <v>63</v>
      </c>
      <c r="B21" s="18">
        <f>-Assumptions!B30</f>
        <v>-9726000000</v>
      </c>
    </row>
    <row r="22" spans="1:2" x14ac:dyDescent="0.25">
      <c r="A22" t="s">
        <v>64</v>
      </c>
      <c r="B22" s="18">
        <f>B20+B21</f>
        <v>20686976706.3056</v>
      </c>
    </row>
    <row r="23" spans="1:2" x14ac:dyDescent="0.25">
      <c r="A23" s="19" t="s">
        <v>65</v>
      </c>
      <c r="B23" s="25">
        <f>B22/Assumptions!B31</f>
        <v>39.98256031369463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18.316967430361302</v>
      </c>
    </row>
    <row r="29" spans="1:2" x14ac:dyDescent="0.25">
      <c r="A29" s="19" t="s">
        <v>73</v>
      </c>
      <c r="B29" s="12">
        <f>B28/B26-1</f>
        <v>-0.44510852982849736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0.067728</v>
      </c>
      <c r="B5" s="31">
        <v>28.694235584933455</v>
      </c>
      <c r="C5" s="31">
        <v>28.865341998192118</v>
      </c>
      <c r="D5" s="31">
        <v>29.036448411450763</v>
      </c>
      <c r="E5" s="31">
        <v>29.207554824709426</v>
      </c>
      <c r="F5" s="31">
        <v>29.378661237968075</v>
      </c>
    </row>
    <row r="6" spans="1:6" x14ac:dyDescent="0.25">
      <c r="A6" s="30">
        <v>0.077728</v>
      </c>
      <c r="B6" s="31">
        <v>22.70004616812244</v>
      </c>
      <c r="C6" s="31">
        <v>22.843014101898028</v>
      </c>
      <c r="D6" s="31">
        <v>22.985982035673604</v>
      </c>
      <c r="E6" s="31">
        <v>23.1289499694492</v>
      </c>
      <c r="F6" s="31">
        <v>23.271917903224796</v>
      </c>
    </row>
    <row r="7" spans="1:6" x14ac:dyDescent="0.25">
      <c r="A7" s="30">
        <v>0.087728</v>
      </c>
      <c r="B7" s="31">
        <v>18.073741665309843</v>
      </c>
      <c r="C7" s="31">
        <v>18.19525607081312</v>
      </c>
      <c r="D7" s="32">
        <v>18.316770476316393</v>
      </c>
      <c r="E7" s="31">
        <v>18.43828488181967</v>
      </c>
      <c r="F7" s="31">
        <v>18.55979928732295</v>
      </c>
    </row>
    <row r="8" spans="1:6" x14ac:dyDescent="0.25">
      <c r="A8" s="30">
        <v>0.097728</v>
      </c>
      <c r="B8" s="31">
        <v>14.395334553057884</v>
      </c>
      <c r="C8" s="31">
        <v>14.50001414758863</v>
      </c>
      <c r="D8" s="31">
        <v>14.60469374211937</v>
      </c>
      <c r="E8" s="31">
        <v>14.709373336650103</v>
      </c>
      <c r="F8" s="31">
        <v>14.814052931180836</v>
      </c>
    </row>
    <row r="9" spans="1:6" x14ac:dyDescent="0.25">
      <c r="A9" s="30">
        <v>0.107728</v>
      </c>
      <c r="B9" s="31">
        <v>11.400785653854406</v>
      </c>
      <c r="C9" s="31">
        <v>11.491950978724258</v>
      </c>
      <c r="D9" s="31">
        <v>11.583116303594108</v>
      </c>
      <c r="E9" s="31">
        <v>11.674281628463957</v>
      </c>
      <c r="F9" s="31">
        <v>11.765446953333809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8770700000</v>
      </c>
      <c r="C5" s="18">
        <v>8478000000</v>
      </c>
      <c r="D5" s="18">
        <v>7849400000</v>
      </c>
      <c r="E5" s="18">
        <v>8275300000</v>
      </c>
      <c r="F5" s="8" t="s">
        <v>84</v>
      </c>
    </row>
    <row r="6" spans="1:6" x14ac:dyDescent="0.25">
      <c r="A6" t="s">
        <v>44</v>
      </c>
      <c r="B6" s="18">
        <v>1099800000</v>
      </c>
      <c r="C6" s="18">
        <v>1157900000</v>
      </c>
      <c r="D6" s="18">
        <v>1436900000</v>
      </c>
      <c r="E6" s="18">
        <v>1945300000</v>
      </c>
      <c r="F6" s="8" t="s">
        <v>85</v>
      </c>
    </row>
    <row r="7" spans="1:6" x14ac:dyDescent="0.25">
      <c r="A7" t="s">
        <v>86</v>
      </c>
      <c r="B7" s="18">
        <v>531800000</v>
      </c>
      <c r="C7" s="18">
        <v>454700000</v>
      </c>
      <c r="D7" s="18">
        <v>445400000</v>
      </c>
      <c r="E7" s="18">
        <v>377800000</v>
      </c>
      <c r="F7" s="8" t="s">
        <v>87</v>
      </c>
    </row>
    <row r="8" spans="1:6" x14ac:dyDescent="0.25">
      <c r="A8" t="s">
        <v>88</v>
      </c>
      <c r="B8" s="18">
        <v>154500000</v>
      </c>
      <c r="C8" s="18">
        <v>177100000</v>
      </c>
      <c r="D8" s="18">
        <v>148800000</v>
      </c>
      <c r="E8" s="18">
        <v>90300000</v>
      </c>
      <c r="F8" s="8" t="s">
        <v>89</v>
      </c>
    </row>
    <row r="9" spans="1:6" x14ac:dyDescent="0.25">
      <c r="A9" t="s">
        <v>90</v>
      </c>
      <c r="B9" s="18">
        <v>249100000</v>
      </c>
      <c r="C9" s="18">
        <v>145800000</v>
      </c>
      <c r="D9" s="18">
        <v>-64700000</v>
      </c>
      <c r="E9" s="18">
        <v>-71200000</v>
      </c>
      <c r="F9" s="8" t="s">
        <v>91</v>
      </c>
    </row>
    <row r="10" spans="1:6" x14ac:dyDescent="0.25">
      <c r="A10" t="s">
        <v>92</v>
      </c>
      <c r="B10" s="18">
        <v>13299900000</v>
      </c>
      <c r="C10" s="18">
        <v>13086900000</v>
      </c>
      <c r="D10" s="18">
        <v>11752400000</v>
      </c>
      <c r="E10" s="18">
        <v>9362500000</v>
      </c>
      <c r="F10" s="8" t="s">
        <v>93</v>
      </c>
    </row>
    <row r="11" spans="1:6" x14ac:dyDescent="0.25">
      <c r="A11" t="s">
        <v>94</v>
      </c>
      <c r="B11" s="18">
        <v>3573900000</v>
      </c>
      <c r="C11" s="18">
        <v>4408900000</v>
      </c>
      <c r="D11" s="18">
        <v>4402400000</v>
      </c>
      <c r="E11" s="18">
        <v>4782500000</v>
      </c>
      <c r="F11" s="8" t="s">
        <v>95</v>
      </c>
    </row>
    <row r="12" spans="1:6" x14ac:dyDescent="0.25">
      <c r="A12" t="s">
        <v>32</v>
      </c>
      <c r="B12" s="34">
        <v>517400000</v>
      </c>
      <c r="C12" s="34">
        <v>510300000</v>
      </c>
      <c r="D12" s="34">
        <v>490800000</v>
      </c>
      <c r="E12" s="34">
        <v>489300000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