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<sst xmlns="http://schemas.openxmlformats.org/spreadsheetml/2006/main" count="115" uniqueCount="102">
  <si>
    <t>Bendigo and Adelaide Bank Limited (BEN.AX)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</si>
  <si>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</si>
  <si>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</si>
  <si>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</si>
  <si>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</si>
  <si>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</si>
  <si>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</si>
  <si>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</si>
  <si>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</si>
  <si>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</si>
  <si>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</si>
  <si>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</si>
  <si>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</si>
  <si>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</si>
  <si>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</si>
  <si>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</si>
  <si>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</si>
  <si>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</si>
  <si>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</si>
  <si>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</si>
  <si>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</si>
  <si>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</si>
  <si>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Implied cost of debt of 27.5% is not a credible funding cost, so risk-free + 2bp is assumed instead. Interest expense and reported debt are measuring different things - common for banks, whose interest expense includes deposits that total debt excludes.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</si>
  <si>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</si>
  <si>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</si>
  <si>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</si>
  <si>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</si>
  <si>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</si>
  <si>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</si>
  <si>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</si>
  <si>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</si>
  <si>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</si>
  <si>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</si>
  <si>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</si>
  <si>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</si>
  <si>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</si>
  <si>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</si>
  <si>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</si>
  <si>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</si>
  <si>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</si>
  <si>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</si>
  <si>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</si>
  <si>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</si>
  <si>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</si>
  <si>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</si>
  <si>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</si>
  <si>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</si>
  <si>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</si>
  <si>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</si>
  <si>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</si>
  <si>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</si>
  <si>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</si>
  <si>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</si>
  <si>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</si>
  <si>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</si>
  <si>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</si>
  <si>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</si>
  <si>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</si>
  <si>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</si>
  <si>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</si>
  <si>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</si>
  <si>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</si>
  <si>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</si>
  <si>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</si>
  <si>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</si>
  <si>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</si>
  <si>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</si>
  <si>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</si>
  <si>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</si>
  <si>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</si>
  <si>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</si>
  <si>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</si>
  <si>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</si>
  <si>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</si>
  <si>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</si>
  <si>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</si>
  <si>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</si>
  <si>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</si>
  <si>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</si>
  <si>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</si>
  <si>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</si>
  <si>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</si>
  <si>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</si>
  <si>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</si>
  <si>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</si>
  <si>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derived</t>
  </si>
  <si>
    <t>Depreciation &amp; amortisation</t>
  </si>
  <si>
    <t>reconciledDepreciation</t>
  </si>
  <si>
    <t>Capital expenditure</t>
  </si>
  <si>
    <t>capitalExpenditure</t>
  </si>
  <si>
    <t>Change in working 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</si>
  <si>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</si>
  <si>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</si>
  <si>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</si>
  <si>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</si>
  <si>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</si>
  <si>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</si>
  <si>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</si>
  <si>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Some line items were not reported and have been derived. Each one is labelled in the workings below.</t>
  </si>
  <si>
    <t>Adjusted: Reported capital expenditure averages 1.35% of revenue against depreciation and amortisation of 6.03%. A business cannot depreciate more than it invests indefinitely. Capex has been set to 6.03%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</si>
  <si>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Current EV/EBITDA of 21.0x sits outside a defensible 3-20x band, so the exit multiple is capped at 20.0x. A multiple that far out usually means EBITDA is the wrong denominator for this business.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</si>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</sst>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0.01432775036746503</v>
      </c>
    </row>
    <row r="7" spans="1:2" x14ac:dyDescent="0.25">
      <c r="A7" t="s">
        <v>5</v>
      </c>
      <c r="B7" s="6">
        <v>0.27819588568751885</v>
      </c>
    </row>
    <row r="8" spans="1:2" x14ac:dyDescent="0.25">
      <c r="A8" t="s">
        <v>6</v>
      </c>
      <c r="B8" s="6">
        <v>0.3</v>
      </c>
    </row>
    <row r="9" spans="1:2" x14ac:dyDescent="0.25">
      <c r="A9" t="s">
        <v>7</v>
      </c>
      <c r="B9" s="6">
        <v>0.06028073608653661</v>
      </c>
    </row>
    <row r="10" spans="1:2" x14ac:dyDescent="0.25">
      <c r="A10" t="s">
        <v>8</v>
      </c>
      <c r="B10" s="6">
        <v>0.06028073608653661</v>
      </c>
    </row>
    <row r="11" spans="1:2" x14ac:dyDescent="0.25">
      <c r="A11" t="s">
        <v>9</v>
      </c>
      <c r="B11" s="6">
        <v>-0.1750245821042281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0.07102553959601357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0.84456</v>
      </c>
      <c r="C19" s="8" t="s">
        <v>19</v>
      </c>
    </row>
    <row r="20" spans="1:2" x14ac:dyDescent="0.25">
      <c r="A20" t="s">
        <v>20</v>
      </c>
      <c r="B20" s="10">
        <f>B17+B19*B18</f>
        <v>0.1041536</v>
      </c>
    </row>
    <row r="21" spans="1:3" x14ac:dyDescent="0.25">
      <c r="A21" t="s">
        <v>21</v>
      </c>
      <c r="B21" s="6">
        <v>0.07348</v>
      </c>
      <c r="C21" s="8" t="s">
        <v>22</v>
      </c>
    </row>
    <row r="22" spans="1:2" x14ac:dyDescent="0.25">
      <c r="A22" t="s">
        <v>23</v>
      </c>
      <c r="B22" s="11">
        <v>5979269120</v>
      </c>
    </row>
    <row r="23" spans="1:2" x14ac:dyDescent="0.25">
      <c r="A23" t="s">
        <v>24</v>
      </c>
      <c r="B23" s="11">
        <v>10111600000</v>
      </c>
    </row>
    <row r="24" spans="1:2" x14ac:dyDescent="0.25">
      <c r="A24" t="s">
        <v>25</v>
      </c>
      <c r="B24" s="10">
        <f>B22/(B22+B23)</f>
        <v>0.37159391922268026</v>
      </c>
    </row>
    <row r="25" spans="1:2" x14ac:dyDescent="0.25">
      <c r="A25" t="s">
        <v>26</v>
      </c>
      <c r="B25" s="10">
        <f>1-B24</f>
        <v>0.6284060807773197</v>
      </c>
    </row>
    <row r="26" spans="1:2" x14ac:dyDescent="0.25">
      <c r="A26" t="s">
        <v>27</v>
      </c>
      <c r="B26" s="12">
        <f>B24*B20+B25*B21*(1-B8)</f>
        <v>0.07102553959601357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1979400000</v>
      </c>
      <c r="C29" s="8" t="s">
        <v>30</v>
      </c>
    </row>
    <row r="30" spans="1:2" x14ac:dyDescent="0.25">
      <c r="A30" t="s">
        <v>31</v>
      </c>
      <c r="B30" s="11">
        <v>8526000000</v>
      </c>
    </row>
    <row r="31" spans="1:2" x14ac:dyDescent="0.25">
      <c r="A31" t="s">
        <v>32</v>
      </c>
      <c r="B31" s="13">
        <v>644390059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0.01432775036746503</v>
      </c>
      <c r="C5" s="10">
        <f>Assumptions!B6</f>
        <v>0.01432775036746503</v>
      </c>
      <c r="D5" s="10">
        <f>Assumptions!B6</f>
        <v>0.01432775036746503</v>
      </c>
      <c r="E5" s="10">
        <f>Assumptions!B6</f>
        <v>0.01432775036746503</v>
      </c>
      <c r="F5" s="10">
        <f>Assumptions!B6</f>
        <v>0.01432775036746503</v>
      </c>
    </row>
    <row r="6" spans="1:6" x14ac:dyDescent="0.25">
      <c r="A6" t="s">
        <v>43</v>
      </c>
      <c r="B6" s="18">
        <f>Assumptions!B29*(1+B5)</f>
        <v>2007760349.0773604</v>
      </c>
      <c r="C6" s="18">
        <f>B6*(1+C5)</f>
        <v>2036527038.1566353</v>
      </c>
      <c r="D6" s="18">
        <f>C6*(1+D5)</f>
        <v>2065705889.1759365</v>
      </c>
      <c r="E6" s="18">
        <f>D6*(1+E5)</f>
        <v>2095302807.4886518</v>
      </c>
      <c r="F6" s="18">
        <f>E6*(1+F5)</f>
        <v>2125323783.0585978</v>
      </c>
    </row>
    <row r="7" spans="1:6" x14ac:dyDescent="0.25">
      <c r="A7" t="s">
        <v>5</v>
      </c>
      <c r="B7" s="10">
        <f>Assumptions!B7</f>
        <v>0.27819588568751885</v>
      </c>
      <c r="C7" s="10">
        <f>Assumptions!B7</f>
        <v>0.27819588568751885</v>
      </c>
      <c r="D7" s="10">
        <f>Assumptions!B7</f>
        <v>0.27819588568751885</v>
      </c>
      <c r="E7" s="10">
        <f>Assumptions!B7</f>
        <v>0.27819588568751885</v>
      </c>
      <c r="F7" s="10">
        <f>Assumptions!B7</f>
        <v>0.27819588568751885</v>
      </c>
    </row>
    <row r="8" spans="1:6" x14ac:dyDescent="0.25">
      <c r="A8" t="s">
        <v>44</v>
      </c>
      <c r="B8" s="18">
        <f>B6*B7</f>
        <v>558550668.5598583</v>
      </c>
      <c r="C8" s="18">
        <f>C6*C7</f>
        <v>566553443.1065646</v>
      </c>
      <c r="D8" s="18">
        <f>D6*D7</f>
        <v>574670879.4092233</v>
      </c>
      <c r="E8" s="18">
        <f>E6*E7</f>
        <v>582904620.3128502</v>
      </c>
      <c r="F8" s="18">
        <f>F6*F7</f>
        <v>591256332.2007347</v>
      </c>
    </row>
    <row r="9" spans="1:6" x14ac:dyDescent="0.25">
      <c r="A9" t="s">
        <v>45</v>
      </c>
      <c r="B9" s="18">
        <f>B8*(1-Assumptions!B8)</f>
        <v>390985467.9919008</v>
      </c>
      <c r="C9" s="18">
        <f>C8*(1-Assumptions!B8)</f>
        <v>396587410.17459524</v>
      </c>
      <c r="D9" s="18">
        <f>D8*(1-Assumptions!B8)</f>
        <v>402269615.5864563</v>
      </c>
      <c r="E9" s="18">
        <f>E8*(1-Assumptions!B8)</f>
        <v>408033234.21899515</v>
      </c>
      <c r="F9" s="18">
        <f>F8*(1-Assumptions!B8)</f>
        <v>413879432.5405143</v>
      </c>
    </row>
    <row r="10" spans="1:6" x14ac:dyDescent="0.25">
      <c r="A10" t="s">
        <v>46</v>
      </c>
      <c r="B10" s="18">
        <f>B6*Assumptions!B9</f>
        <v>121029271.72774498</v>
      </c>
      <c r="C10" s="18">
        <f>C6*Assumptions!B9</f>
        <v>122763348.9202162</v>
      </c>
      <c r="D10" s="18">
        <f>D6*Assumptions!B9</f>
        <v>124522271.53781907</v>
      </c>
      <c r="E10" s="18">
        <f>E6*Assumptions!B9</f>
        <v>126306395.55960265</v>
      </c>
      <c r="F10" s="18">
        <f>F6*Assumptions!B9</f>
        <v>128116082.06499493</v>
      </c>
    </row>
    <row r="11" spans="1:6" x14ac:dyDescent="0.25">
      <c r="A11" t="s">
        <v>47</v>
      </c>
      <c r="B11" s="18">
        <f>-B6*Assumptions!B10</f>
        <v>-121029271.72774498</v>
      </c>
      <c r="C11" s="18">
        <f>-C6*Assumptions!B10</f>
        <v>-122763348.9202162</v>
      </c>
      <c r="D11" s="18">
        <f>-D6*Assumptions!B10</f>
        <v>-124522271.53781907</v>
      </c>
      <c r="E11" s="18">
        <f>-E6*Assumptions!B10</f>
        <v>-126306395.55960265</v>
      </c>
      <c r="F11" s="18">
        <f>-F6*Assumptions!B10</f>
        <v>-128116082.06499493</v>
      </c>
    </row>
    <row r="12" spans="1:6" x14ac:dyDescent="0.25">
      <c r="A12" t="s">
        <v>48</v>
      </c>
      <c r="B12" s="18">
        <f>-(B6-Assumptions!B29)*Assumptions!B11</f>
        <v>4963758.245595034</v>
      </c>
      <c r="C12" s="18">
        <f>-(C6-B6)*Assumptions!B11</f>
        <v>5034877.734622351</v>
      </c>
      <c r="D12" s="18">
        <f>-(D6-C6)*Assumptions!B11</f>
        <v>5107016.205934719</v>
      </c>
      <c r="E12" s="18">
        <f>-(E6-D6)*Assumptions!B11</f>
        <v>5180188.25925597</v>
      </c>
      <c r="F12" s="18">
        <f>-(F6-E6)*Assumptions!B11</f>
        <v>5254408.703491049</v>
      </c>
    </row>
    <row r="13" spans="1:6" x14ac:dyDescent="0.25">
      <c r="A13" s="19" t="s">
        <v>49</v>
      </c>
      <c r="B13" s="20">
        <f>B9+B10+B11+B12</f>
        <v>395949226.23749584</v>
      </c>
      <c r="C13" s="20">
        <f>C9+C10+C11+C12</f>
        <v>401622287.9092176</v>
      </c>
      <c r="D13" s="20">
        <f>D9+D10+D11+D12</f>
        <v>407376631.792391</v>
      </c>
      <c r="E13" s="20">
        <f>E9+E10+E11+E12</f>
        <v>413213422.47825116</v>
      </c>
      <c r="F13" s="20">
        <f>F9+F10+F11+F12</f>
        <v>419133841.2440054</v>
      </c>
    </row>
    <row r="14" spans="1:6" x14ac:dyDescent="0.25">
      <c r="A14" t="s">
        <v>50</v>
      </c>
      <c r="B14" s="21">
        <f>1/(1+Assumptions!$B$26)^(1-0.5*Assumptions!$B$32)</f>
        <v>0.9662735383709398</v>
      </c>
      <c r="C14" s="21">
        <f>1/(1+Assumptions!$B$26)^(2-0.5*Assumptions!$B$32)</f>
        <v>0.9021946747744355</v>
      </c>
      <c r="D14" s="21">
        <f>1/(1+Assumptions!$B$26)^(3-0.5*Assumptions!$B$32)</f>
        <v>0.8423652297915694</v>
      </c>
      <c r="E14" s="21">
        <f>1/(1+Assumptions!$B$26)^(4-0.5*Assumptions!$B$32)</f>
        <v>0.7865034013188015</v>
      </c>
      <c r="F14" s="21">
        <f>1/(1+Assumptions!$B$26)^(5-0.5*Assumptions!$B$32)</f>
        <v>0.73434607508563</v>
      </c>
    </row>
    <row r="15" spans="1:6" x14ac:dyDescent="0.25">
      <c r="A15" s="19" t="s">
        <v>51</v>
      </c>
      <c r="B15" s="20">
        <f>B13*B14</f>
        <v>382595259.85174084</v>
      </c>
      <c r="C15" s="20">
        <f>C13*C14</f>
        <v>362341489.4224213</v>
      </c>
      <c r="D15" s="20">
        <f>D13*D14</f>
        <v>343159910.05151296</v>
      </c>
      <c r="E15" s="20">
        <f>E13*E14</f>
        <v>324993762.2497274</v>
      </c>
      <c r="F15" s="20">
        <f>F13*F14</f>
        <v>307789291.2530989</v>
      </c>
    </row>
    <row r="17" spans="1:2" x14ac:dyDescent="0.25">
      <c r="A17" s="22" t="s">
        <v>52</v>
      </c>
      <c r="B17" s="23">
        <f>SUM(B15:F15)</f>
        <v>1720879712.8285015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419133841.2440054</v>
      </c>
    </row>
    <row r="5" spans="1:2" x14ac:dyDescent="0.25">
      <c r="A5" t="s">
        <v>56</v>
      </c>
      <c r="B5" s="18">
        <f>IF(Assumptions!$B$33=0,B4,B4-Forecast!F11-Forecast!F10-Forecast!F12)</f>
        <v>413879432.5405143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0.3519860622277225</v>
      </c>
    </row>
    <row r="7" spans="1:2" x14ac:dyDescent="0.25">
      <c r="A7" t="s">
        <v>58</v>
      </c>
      <c r="B7" s="18">
        <f>-MAX(Forecast!F9,0)*B6</f>
        <v>-145679791.69697994</v>
      </c>
    </row>
    <row r="8" spans="1:2" x14ac:dyDescent="0.25">
      <c r="A8" t="s">
        <v>59</v>
      </c>
      <c r="B8" s="18">
        <f>IF(OR(Assumptions!$B$33=0,Assumptions!B12&lt;=0),B5,MAX(B5+B7,0))</f>
        <v>268199640.84353435</v>
      </c>
    </row>
    <row r="9" spans="1:2" x14ac:dyDescent="0.25">
      <c r="A9" t="s">
        <v>60</v>
      </c>
      <c r="B9" s="18">
        <f>B8*(1+Assumptions!B12)/(Assumptions!B26-Assumptions!B12)</f>
        <v>5972871459.576178</v>
      </c>
    </row>
    <row r="10" spans="1:2" x14ac:dyDescent="0.25">
      <c r="A10" t="s">
        <v>61</v>
      </c>
      <c r="B10" s="18">
        <f>B9/(1+Assumptions!B26)^(5-0.5*Assumptions!B32)</f>
        <v>4386154713.330744</v>
      </c>
    </row>
    <row r="11" spans="1:2" x14ac:dyDescent="0.25">
      <c r="A11" t="s">
        <v>62</v>
      </c>
      <c r="B11" s="18">
        <f>Forecast!B17+B10</f>
        <v>6107034426.1592455</v>
      </c>
    </row>
    <row r="12" spans="1:2" x14ac:dyDescent="0.25">
      <c r="A12" t="s">
        <v>63</v>
      </c>
      <c r="B12" s="18">
        <f>-Assumptions!B30</f>
        <v>-8526000000</v>
      </c>
    </row>
    <row r="13" spans="1:2" x14ac:dyDescent="0.25">
      <c r="A13" t="s">
        <v>64</v>
      </c>
      <c r="B13" s="18">
        <f>B11+B12</f>
        <v>-2418965573.8407545</v>
      </c>
    </row>
    <row r="14" spans="1:2" x14ac:dyDescent="0.25">
      <c r="A14" s="19" t="s">
        <v>65</v>
      </c>
      <c r="B14" s="24">
        <f>B13/Assumptions!B31</f>
        <v>-3.753884064559653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719372414.2657297</v>
      </c>
    </row>
    <row r="18" spans="1:2" x14ac:dyDescent="0.25">
      <c r="A18" t="s">
        <v>60</v>
      </c>
      <c r="B18" s="18">
        <f>B17*Assumptions!B13</f>
        <v>14387448285.314594</v>
      </c>
    </row>
    <row r="19" spans="1:2" x14ac:dyDescent="0.25">
      <c r="A19" t="s">
        <v>61</v>
      </c>
      <c r="B19" s="18">
        <f>B18/(1+Assumptions!B26)^(5-0.5*Assumptions!B32)</f>
        <v>10565366178.818249</v>
      </c>
    </row>
    <row r="20" spans="1:2" x14ac:dyDescent="0.25">
      <c r="A20" t="s">
        <v>62</v>
      </c>
      <c r="B20" s="18">
        <f>Forecast!B17+B19</f>
        <v>12286245891.64675</v>
      </c>
    </row>
    <row r="21" spans="1:2" x14ac:dyDescent="0.25">
      <c r="A21" t="s">
        <v>63</v>
      </c>
      <c r="B21" s="18">
        <f>-Assumptions!B30</f>
        <v>-8526000000</v>
      </c>
    </row>
    <row r="22" spans="1:2" x14ac:dyDescent="0.25">
      <c r="A22" t="s">
        <v>64</v>
      </c>
      <c r="B22" s="18">
        <f>B20+B21</f>
        <v>3760245891.6467495</v>
      </c>
    </row>
    <row r="23" spans="1:2" x14ac:dyDescent="0.25">
      <c r="A23" s="19" t="s">
        <v>65</v>
      </c>
      <c r="B23" s="25">
        <f>B22/Assumptions!B31</f>
        <v>5.835356767424542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10.36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-3.753884064559653</v>
      </c>
    </row>
    <row r="29" spans="1:2" x14ac:dyDescent="0.25">
      <c r="A29" s="19" t="s">
        <v>73</v>
      </c>
      <c r="B29" s="12">
        <f>B28/B26-1</f>
        <v>-1.3623440216756422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0.051026</v>
      </c>
      <c r="B5" s="31">
        <v>-0.22377465729787457</v>
      </c>
      <c r="C5" s="31">
        <v>-0.1734659770775647</v>
      </c>
      <c r="D5" s="31">
        <v>-0.1231572968572563</v>
      </c>
      <c r="E5" s="31">
        <v>-0.07284861663694937</v>
      </c>
      <c r="F5" s="31">
        <v>-0.022539936416639494</v>
      </c>
    </row>
    <row r="6" spans="1:6" x14ac:dyDescent="0.25">
      <c r="A6" s="30">
        <v>0.061026</v>
      </c>
      <c r="B6" s="31">
        <v>-2.3168056722795756</v>
      </c>
      <c r="C6" s="31">
        <v>-2.276495654046168</v>
      </c>
      <c r="D6" s="31">
        <v>-2.2361856358127663</v>
      </c>
      <c r="E6" s="31">
        <v>-2.19587561757936</v>
      </c>
      <c r="F6" s="31">
        <v>-2.1555655993459553</v>
      </c>
    </row>
    <row r="7" spans="1:6" x14ac:dyDescent="0.25">
      <c r="A7" s="30">
        <v>0.071026</v>
      </c>
      <c r="B7" s="31">
        <v>-3.820350140614074</v>
      </c>
      <c r="C7" s="31">
        <v>-3.787147119755741</v>
      </c>
      <c r="D7" s="32">
        <v>-3.7539440988974078</v>
      </c>
      <c r="E7" s="31">
        <v>-3.7207410780390746</v>
      </c>
      <c r="F7" s="31">
        <v>-3.6875380571807415</v>
      </c>
    </row>
    <row r="8" spans="1:6" x14ac:dyDescent="0.25">
      <c r="A8" s="30">
        <v>0.081026</v>
      </c>
      <c r="B8" s="31">
        <v>-4.952676583123777</v>
      </c>
      <c r="C8" s="31">
        <v>-4.924763488333073</v>
      </c>
      <c r="D8" s="31">
        <v>-4.896850393542373</v>
      </c>
      <c r="E8" s="31">
        <v>-4.868937298751669</v>
      </c>
      <c r="F8" s="31">
        <v>-4.841024203960966</v>
      </c>
    </row>
    <row r="9" spans="1:6" x14ac:dyDescent="0.25">
      <c r="A9" s="30">
        <v>0.091026</v>
      </c>
      <c r="B9" s="31">
        <v>-5.836138135589431</v>
      </c>
      <c r="C9" s="31">
        <v>-5.812300037234112</v>
      </c>
      <c r="D9" s="31">
        <v>-5.788461938878797</v>
      </c>
      <c r="E9" s="31">
        <v>-5.764623840523479</v>
      </c>
      <c r="F9" s="31">
        <v>-5.74078574216816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1979400000</v>
      </c>
      <c r="C5" s="18">
        <v>1914900000</v>
      </c>
      <c r="D5" s="18">
        <v>2016600000</v>
      </c>
      <c r="E5" s="18">
        <v>1896700000</v>
      </c>
      <c r="F5" s="8" t="s">
        <v>84</v>
      </c>
    </row>
    <row r="6" spans="1:6" x14ac:dyDescent="0.25">
      <c r="A6" t="s">
        <v>44</v>
      </c>
      <c r="B6" s="18">
        <v>554900000</v>
      </c>
      <c r="C6" s="18">
        <v>105300000</v>
      </c>
      <c r="D6" s="18">
        <v>797200000</v>
      </c>
      <c r="E6" s="18">
        <v>724800000</v>
      </c>
      <c r="F6" s="8" t="s">
        <v>85</v>
      </c>
    </row>
    <row r="7" spans="1:6" x14ac:dyDescent="0.25">
      <c r="A7" t="s">
        <v>86</v>
      </c>
      <c r="B7" s="18">
        <v>135700000</v>
      </c>
      <c r="C7" s="18">
        <v>120500000</v>
      </c>
      <c r="D7" s="18">
        <v>111800000</v>
      </c>
      <c r="E7" s="18">
        <v>102800000</v>
      </c>
      <c r="F7" s="8" t="s">
        <v>87</v>
      </c>
    </row>
    <row r="8" spans="1:6" x14ac:dyDescent="0.25">
      <c r="A8" t="s">
        <v>88</v>
      </c>
      <c r="B8" s="18">
        <v>29400000</v>
      </c>
      <c r="C8" s="18">
        <v>18300000</v>
      </c>
      <c r="D8" s="18">
        <v>27200000</v>
      </c>
      <c r="E8" s="18">
        <v>30600000</v>
      </c>
      <c r="F8" s="8" t="s">
        <v>89</v>
      </c>
    </row>
    <row r="9" spans="1:6" x14ac:dyDescent="0.25">
      <c r="A9" t="s">
        <v>90</v>
      </c>
      <c r="B9" s="18">
        <v>119300000</v>
      </c>
      <c r="C9" s="18">
        <v>17800000</v>
      </c>
      <c r="D9" s="18">
        <v>-188800000</v>
      </c>
      <c r="E9" s="18">
        <v>0</v>
      </c>
      <c r="F9" s="8" t="s">
        <v>85</v>
      </c>
    </row>
    <row r="10" spans="1:6" x14ac:dyDescent="0.25">
      <c r="A10" t="s">
        <v>91</v>
      </c>
      <c r="B10" s="18">
        <v>10111600000</v>
      </c>
      <c r="C10" s="18">
        <v>11371400000</v>
      </c>
      <c r="D10" s="18">
        <v>10748100000</v>
      </c>
      <c r="E10" s="18">
        <v>13325000000</v>
      </c>
      <c r="F10" s="8" t="s">
        <v>92</v>
      </c>
    </row>
    <row r="11" spans="1:6" x14ac:dyDescent="0.25">
      <c r="A11" t="s">
        <v>93</v>
      </c>
      <c r="B11" s="18">
        <v>1585600000</v>
      </c>
      <c r="C11" s="18">
        <v>1083200000</v>
      </c>
      <c r="D11" s="18">
        <v>1887700000</v>
      </c>
      <c r="E11" s="18">
        <v>6691400000</v>
      </c>
      <c r="F11" s="8" t="s">
        <v>94</v>
      </c>
    </row>
    <row r="12" spans="1:6" x14ac:dyDescent="0.25">
      <c r="A12" t="s">
        <v>32</v>
      </c>
      <c r="B12" s="34">
        <v>644390059</v>
      </c>
      <c r="C12" s="34">
        <v>565647846</v>
      </c>
      <c r="D12" s="34">
        <v>662912570</v>
      </c>
      <c r="E12" s="34">
        <v>661966491</v>
      </c>
      <c r="F12" s="8" t="s">
        <v>95</v>
      </c>
    </row>
    <row r="15" spans="1:1" x14ac:dyDescent="0.25">
      <c r="A15" s="19" t="s">
        <v>96</v>
      </c>
    </row>
    <row r="16" ht="54" customHeight="1" spans="1:6" x14ac:dyDescent="0.25">
      <c r="A16" s="35" t="s">
        <v>97</v>
      </c>
      <c r="B16" s="35"/>
      <c r="C16" s="35"/>
      <c r="D16" s="35"/>
      <c r="E16" s="35"/>
      <c r="F16" s="35"/>
    </row>
    <row r="17" ht="22" customHeight="1" spans="1:6" x14ac:dyDescent="0.25">
      <c r="A17" s="35" t="s">
        <v>98</v>
      </c>
      <c r="B17" s="35"/>
      <c r="C17" s="35"/>
      <c r="D17" s="35"/>
      <c r="E17" s="35"/>
      <c r="F17" s="35"/>
    </row>
    <row r="18" ht="70" customHeight="1" spans="1:6" x14ac:dyDescent="0.25">
      <c r="A18" s="35" t="s">
        <v>99</v>
      </c>
      <c r="B18" s="35"/>
      <c r="C18" s="35"/>
      <c r="D18" s="35"/>
      <c r="E18" s="35"/>
      <c r="F18" s="35"/>
    </row>
    <row r="19" ht="38" customHeight="1" spans="1:6" x14ac:dyDescent="0.25">
      <c r="A19" s="35" t="s">
        <v>100</v>
      </c>
      <c r="B19" s="35"/>
      <c r="C19" s="35"/>
      <c r="D19" s="35"/>
      <c r="E19" s="35"/>
      <c r="F19" s="35"/>
    </row>
    <row r="21" spans="1:1" x14ac:dyDescent="0.25">
      <c r="A21" s="36" t="s">
        <v>101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2026-09-19T00:06:30Z</dcterms:modified>
</cp:coreProperties>
</file>