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<sst xmlns="http://schemas.openxmlformats.org/spreadsheetml/2006/main" count="114" uniqueCount="102">
  <si>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BE Semiconductor Industries N.V. (BESI.AS)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</si>
  <si>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</si>
  <si>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</si>
  <si>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</si>
  <si>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</si>
  <si>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</si>
  <si>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</si>
  <si>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</si>
  <si>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</si>
  <si>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</si>
  <si>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</si>
  <si>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</si>
  <si>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</si>
  <si>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</si>
  <si>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</si>
  <si>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</si>
  <si>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</si>
  <si>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</si>
  <si>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</si>
  <si>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</si>
  <si>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</si>
  <si>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</si>
  <si>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</si>
  <si>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</si>
  <si>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</si>
  <si>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</si>
  <si>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</si>
  <si>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</si>
  <si>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</si>
  <si>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</si>
  <si>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</si>
  <si>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</si>
  <si>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</si>
  <si>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</si>
  <si>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</si>
  <si>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</si>
  <si>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</si>
  <si>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</si>
  <si>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</si>
  <si>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</si>
  <si>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</si>
  <si>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</si>
  <si>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</si>
  <si>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</si>
  <si>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</si>
  <si>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</si>
  <si>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</si>
  <si>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</si>
  <si>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</si>
  <si>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</si>
  <si>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</si>
  <si>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</si>
  <si>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</si>
  <si>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</si>
  <si>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</si>
  <si>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</si>
  <si>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</si>
  <si>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</si>
  <si>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</si>
  <si>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</si>
  <si>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</si>
  <si>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</si>
  <si>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</si>
  <si>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</si>
  <si>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</si>
  <si>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</si>
  <si>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</si>
  <si>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</si>
  <si>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</si>
  <si>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</si>
  <si>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</si>
  <si>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</si>
  <si>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</si>
  <si>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</si>
  <si>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</si>
  <si>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</si>
  <si>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</si>
  <si>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</si>
  <si>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</si>
  <si>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</si>
  <si>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</si>
  <si>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</si>
  <si>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</si>
  <si>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</si>
  <si>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</si>
  <si>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</si>
  <si>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</si>
  <si>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</si>
  <si>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</si>
  <si>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</si>
  <si>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</si>
  <si>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</si>
  <si>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</si>
  <si>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</si>
  <si>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</si>
  <si>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</si>
  <si>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</si>
  <si>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</si>
  <si>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7.8%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</si>
  <si>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USD assumption - no free live source available for this market.</t>
  </si>
  <si>
    <t>Current EV/EBITDA of 72.2x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</si>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</sst>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-0.06475911990843208</v>
      </c>
    </row>
    <row r="7" spans="1:2" x14ac:dyDescent="0.25">
      <c r="A7" t="s">
        <v>5</v>
      </c>
      <c r="B7" s="6">
        <v>0.34753574817272626</v>
      </c>
    </row>
    <row r="8" spans="1:2" x14ac:dyDescent="0.25">
      <c r="A8" t="s">
        <v>6</v>
      </c>
      <c r="B8" s="6">
        <v>0.13568801830298222</v>
      </c>
    </row>
    <row r="9" spans="1:2" x14ac:dyDescent="0.25">
      <c r="A9" t="s">
        <v>7</v>
      </c>
      <c r="B9" s="6">
        <v>0.045092546753306706</v>
      </c>
    </row>
    <row r="10" spans="1:2" x14ac:dyDescent="0.25">
      <c r="A10" t="s">
        <v>8</v>
      </c>
      <c r="B10" s="6">
        <v>0.05254187782428127</v>
      </c>
    </row>
    <row r="11" spans="1:2" x14ac:dyDescent="0.25">
      <c r="A11" t="s">
        <v>9</v>
      </c>
      <c r="B11" s="6">
        <v>-0.18623270929392813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0.20982758380879027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1.22177</v>
      </c>
      <c r="C19" s="8" t="s">
        <v>19</v>
      </c>
    </row>
    <row r="20" spans="1:2" x14ac:dyDescent="0.25">
      <c r="A20" t="s">
        <v>20</v>
      </c>
      <c r="B20" s="10">
        <f>B17+B19*B18</f>
        <v>0.12141505</v>
      </c>
    </row>
    <row r="21" spans="1:3" x14ac:dyDescent="0.25">
      <c r="A21" t="s">
        <v>21</v>
      </c>
      <c r="B21" s="6">
        <v>0.047037985941139664</v>
      </c>
      <c r="C21" s="8" t="s">
        <v>22</v>
      </c>
    </row>
    <row r="22" spans="1:2" x14ac:dyDescent="0.25">
      <c r="A22" t="s">
        <v>23</v>
      </c>
      <c r="B22" s="11">
        <v>14770865152</v>
      </c>
    </row>
    <row r="23" spans="1:2" x14ac:dyDescent="0.25">
      <c r="A23" t="s">
        <v>24</v>
      </c>
      <c r="B23" s="11">
        <v>521238000</v>
      </c>
    </row>
    <row r="24" spans="1:2" x14ac:dyDescent="0.25">
      <c r="A24" t="s">
        <v>25</v>
      </c>
      <c r="B24" s="10">
        <f>B22/(B22+B23)</f>
        <v>0.965914564215333</v>
      </c>
    </row>
    <row r="25" spans="1:2" x14ac:dyDescent="0.25">
      <c r="A25" t="s">
        <v>26</v>
      </c>
      <c r="B25" s="10">
        <f>1-B24</f>
        <v>0.03408543578466705</v>
      </c>
    </row>
    <row r="26" spans="1:2" x14ac:dyDescent="0.25">
      <c r="A26" t="s">
        <v>27</v>
      </c>
      <c r="B26" s="12">
        <f>B24*B20+B25*B21*(1-B8)</f>
        <v>0.11866232536872584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591331000</v>
      </c>
      <c r="C29" s="8" t="s">
        <v>30</v>
      </c>
    </row>
    <row r="30" spans="1:2" x14ac:dyDescent="0.25">
      <c r="A30" t="s">
        <v>31</v>
      </c>
      <c r="B30" s="11">
        <v>148252000</v>
      </c>
    </row>
    <row r="31" spans="1:2" x14ac:dyDescent="0.25">
      <c r="A31" t="s">
        <v>32</v>
      </c>
      <c r="B31" s="13">
        <v>79745393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-0.06475911990843208</v>
      </c>
      <c r="C5" s="10">
        <f>Assumptions!B6</f>
        <v>-0.06475911990843208</v>
      </c>
      <c r="D5" s="10">
        <f>Assumptions!B6</f>
        <v>-0.06475911990843208</v>
      </c>
      <c r="E5" s="10">
        <f>Assumptions!B6</f>
        <v>-0.06475911990843208</v>
      </c>
      <c r="F5" s="10">
        <f>Assumptions!B6</f>
        <v>-0.06475911990843208</v>
      </c>
    </row>
    <row r="6" spans="1:6" x14ac:dyDescent="0.25">
      <c r="A6" t="s">
        <v>43</v>
      </c>
      <c r="B6" s="18">
        <f>Assumptions!B29*(1+B5)</f>
        <v>553036924.8654269</v>
      </c>
      <c r="C6" s="18">
        <f>B6*(1+C5)</f>
        <v>517222740.3342762</v>
      </c>
      <c r="D6" s="18">
        <f>C6*(1+D5)</f>
        <v>483727850.87360096</v>
      </c>
      <c r="E6" s="18">
        <f>D6*(1+E5)</f>
        <v>452402060.9758293</v>
      </c>
      <c r="F6" s="18">
        <f>E6*(1+F5)</f>
        <v>423104901.66227376</v>
      </c>
    </row>
    <row r="7" spans="1:6" x14ac:dyDescent="0.25">
      <c r="A7" t="s">
        <v>5</v>
      </c>
      <c r="B7" s="10">
        <f>Assumptions!B7</f>
        <v>0.34753574817272626</v>
      </c>
      <c r="C7" s="10">
        <f>Assumptions!B7</f>
        <v>0.34753574817272626</v>
      </c>
      <c r="D7" s="10">
        <f>Assumptions!B7</f>
        <v>0.34753574817272626</v>
      </c>
      <c r="E7" s="10">
        <f>Assumptions!B7</f>
        <v>0.34753574817272626</v>
      </c>
      <c r="F7" s="10">
        <f>Assumptions!B7</f>
        <v>0.34753574817272626</v>
      </c>
    </row>
    <row r="8" spans="1:6" x14ac:dyDescent="0.25">
      <c r="A8" t="s">
        <v>44</v>
      </c>
      <c r="B8" s="18">
        <f>B6*B7</f>
        <v>192200101.45024994</v>
      </c>
      <c r="C8" s="18">
        <f>C6*C7</f>
        <v>179753392.0340204</v>
      </c>
      <c r="D8" s="18">
        <f>D6*D7</f>
        <v>168112720.56534186</v>
      </c>
      <c r="E8" s="18">
        <f>E6*E7</f>
        <v>157225888.73611817</v>
      </c>
      <c r="F8" s="18">
        <f>F6*F7</f>
        <v>147044078.5547461</v>
      </c>
    </row>
    <row r="9" spans="1:6" x14ac:dyDescent="0.25">
      <c r="A9" t="s">
        <v>45</v>
      </c>
      <c r="B9" s="18">
        <f>B8*(1-Assumptions!B8)</f>
        <v>166120850.56683338</v>
      </c>
      <c r="C9" s="18">
        <f>C8*(1-Assumptions!B8)</f>
        <v>155363010.48568508</v>
      </c>
      <c r="D9" s="18">
        <f>D8*(1-Assumptions!B8)</f>
        <v>145301838.66030762</v>
      </c>
      <c r="E9" s="18">
        <f>E8*(1-Assumptions!B8)</f>
        <v>135892219.4675891</v>
      </c>
      <c r="F9" s="18">
        <f>F8*(1-Assumptions!B8)</f>
        <v>127091958.93246454</v>
      </c>
    </row>
    <row r="10" spans="1:6" x14ac:dyDescent="0.25">
      <c r="A10" t="s">
        <v>46</v>
      </c>
      <c r="B10" s="18">
        <f>B6*Assumptions!B9</f>
        <v>24937843.39079923</v>
      </c>
      <c r="C10" s="18">
        <f>C6*Assumptions!B9</f>
        <v>23322890.600396764</v>
      </c>
      <c r="D10" s="18">
        <f>D6*Assumptions!B9</f>
        <v>21812520.731394425</v>
      </c>
      <c r="E10" s="18">
        <f>E6*Assumptions!B9</f>
        <v>20399961.085844893</v>
      </c>
      <c r="F10" s="18">
        <f>F6*Assumptions!B9</f>
        <v>19078877.559759315</v>
      </c>
    </row>
    <row r="11" spans="1:6" x14ac:dyDescent="0.25">
      <c r="A11" t="s">
        <v>47</v>
      </c>
      <c r="B11" s="18">
        <f>-B6*Assumptions!B10</f>
        <v>-29057598.53859548</v>
      </c>
      <c r="C11" s="18">
        <f>-C6*Assumptions!B10</f>
        <v>-27175854.030583497</v>
      </c>
      <c r="D11" s="18">
        <f>-D6*Assumptions!B10</f>
        <v>-25415969.64080289</v>
      </c>
      <c r="E11" s="18">
        <f>-E6*Assumptions!B10</f>
        <v>-23770053.81524507</v>
      </c>
      <c r="F11" s="18">
        <f>-F6*Assumptions!B10</f>
        <v>-22230726.049993727</v>
      </c>
    </row>
    <row r="12" spans="1:6" x14ac:dyDescent="0.25">
      <c r="A12" t="s">
        <v>48</v>
      </c>
      <c r="B12" s="18">
        <f>-(B6-Assumptions!B29)*Assumptions!B11</f>
        <v>-7131609.362216794</v>
      </c>
      <c r="C12" s="18">
        <f>-(C6-B6)*Assumptions!B11</f>
        <v>-6669772.616388885</v>
      </c>
      <c r="D12" s="18">
        <f>-(D6-C6)*Assumptions!B11</f>
        <v>-6237844.011762189</v>
      </c>
      <c r="E12" s="18">
        <f>-(E6-D6)*Assumptions!B11</f>
        <v>-5833886.723434379</v>
      </c>
      <c r="F12" s="18">
        <f>-(F6-E6)*Assumptions!B11</f>
        <v>-5456089.353579287</v>
      </c>
    </row>
    <row r="13" spans="1:6" x14ac:dyDescent="0.25">
      <c r="A13" s="19" t="s">
        <v>49</v>
      </c>
      <c r="B13" s="20">
        <f>B9+B10+B11+B12</f>
        <v>154869486.05682033</v>
      </c>
      <c r="C13" s="20">
        <f>C9+C10+C11+C12</f>
        <v>144840274.43910944</v>
      </c>
      <c r="D13" s="20">
        <f>D9+D10+D11+D12</f>
        <v>135460545.73913696</v>
      </c>
      <c r="E13" s="20">
        <f>E9+E10+E11+E12</f>
        <v>126688240.01475458</v>
      </c>
      <c r="F13" s="20">
        <f>F9+F10+F11+F12</f>
        <v>118484021.08865085</v>
      </c>
    </row>
    <row r="14" spans="1:6" x14ac:dyDescent="0.25">
      <c r="A14" t="s">
        <v>50</v>
      </c>
      <c r="B14" s="21">
        <f>1/(1+Assumptions!$B$26)^(1-0.5*Assumptions!$B$32)</f>
        <v>0.945475966932529</v>
      </c>
      <c r="C14" s="21">
        <f>1/(1+Assumptions!$B$26)^(2-0.5*Assumptions!$B$32)</f>
        <v>0.8451844184713091</v>
      </c>
      <c r="D14" s="21">
        <f>1/(1+Assumptions!$B$26)^(3-0.5*Assumptions!$B$32)</f>
        <v>0.7555313156655429</v>
      </c>
      <c r="E14" s="21">
        <f>1/(1+Assumptions!$B$26)^(4-0.5*Assumptions!$B$32)</f>
        <v>0.6753881833076929</v>
      </c>
      <c r="F14" s="21">
        <f>1/(1+Assumptions!$B$26)^(5-0.5*Assumptions!$B$32)</f>
        <v>0.603746249418989</v>
      </c>
    </row>
    <row r="15" spans="1:6" x14ac:dyDescent="0.25">
      <c r="A15" s="19" t="s">
        <v>51</v>
      </c>
      <c r="B15" s="20">
        <f>B13*B14</f>
        <v>146425377.07791603</v>
      </c>
      <c r="C15" s="20">
        <f>C13*C14</f>
        <v>122416743.12304354</v>
      </c>
      <c r="D15" s="20">
        <f>D13*D14</f>
        <v>102344684.3430626</v>
      </c>
      <c r="E15" s="20">
        <f>E13*E14</f>
        <v>85563740.27001406</v>
      </c>
      <c r="F15" s="20">
        <f>F13*F14</f>
        <v>71534283.34835336</v>
      </c>
    </row>
    <row r="17" spans="1:2" x14ac:dyDescent="0.25">
      <c r="A17" s="22" t="s">
        <v>52</v>
      </c>
      <c r="B17" s="23">
        <f>SUM(B15:F15)</f>
        <v>528284828.1623895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118484021.08865085</v>
      </c>
    </row>
    <row r="5" spans="1:2" x14ac:dyDescent="0.25">
      <c r="A5" t="s">
        <v>56</v>
      </c>
      <c r="B5" s="18">
        <f>IF(Assumptions!$B$33=0,B4,B4-Forecast!F11-Forecast!F10-Forecast!F12)</f>
        <v>133138327.77974007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0.11914544096729326</v>
      </c>
    </row>
    <row r="7" spans="1:2" x14ac:dyDescent="0.25">
      <c r="A7" t="s">
        <v>58</v>
      </c>
      <c r="B7" s="18">
        <f>-MAX(Forecast!F9,0)*B6</f>
        <v>-15862824.772965161</v>
      </c>
    </row>
    <row r="8" spans="1:2" x14ac:dyDescent="0.25">
      <c r="A8" t="s">
        <v>59</v>
      </c>
      <c r="B8" s="18">
        <f>IF(OR(Assumptions!$B$33=0,Assumptions!B12&lt;=0),B5,MAX(B5+B7,0))</f>
        <v>117275503.0067749</v>
      </c>
    </row>
    <row r="9" spans="1:2" x14ac:dyDescent="0.25">
      <c r="A9" t="s">
        <v>60</v>
      </c>
      <c r="B9" s="18">
        <f>B8*(1+Assumptions!B12)/(Assumptions!B26-Assumptions!B12)</f>
        <v>1283412408.4440243</v>
      </c>
    </row>
    <row r="10" spans="1:2" x14ac:dyDescent="0.25">
      <c r="A10" t="s">
        <v>61</v>
      </c>
      <c r="B10" s="18">
        <f>B9/(1+Assumptions!B26)^(5-0.5*Assumptions!B32)</f>
        <v>774855428.0558714</v>
      </c>
    </row>
    <row r="11" spans="1:2" x14ac:dyDescent="0.25">
      <c r="A11" t="s">
        <v>62</v>
      </c>
      <c r="B11" s="18">
        <f>Forecast!B17+B10</f>
        <v>1303140256.2182608</v>
      </c>
    </row>
    <row r="12" spans="1:2" x14ac:dyDescent="0.25">
      <c r="A12" t="s">
        <v>63</v>
      </c>
      <c r="B12" s="18">
        <f>-Assumptions!B30</f>
        <v>-148252000</v>
      </c>
    </row>
    <row r="13" spans="1:2" x14ac:dyDescent="0.25">
      <c r="A13" t="s">
        <v>64</v>
      </c>
      <c r="B13" s="18">
        <f>B11+B12</f>
        <v>1154888256.2182608</v>
      </c>
    </row>
    <row r="14" spans="1:2" x14ac:dyDescent="0.25">
      <c r="A14" s="19" t="s">
        <v>65</v>
      </c>
      <c r="B14" s="24">
        <f>B13/Assumptions!B31</f>
        <v>14.482194052492297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166122956.1145054</v>
      </c>
    </row>
    <row r="18" spans="1:2" x14ac:dyDescent="0.25">
      <c r="A18" t="s">
        <v>60</v>
      </c>
      <c r="B18" s="18">
        <f>B17*Assumptions!B13</f>
        <v>3322459122.290108</v>
      </c>
    </row>
    <row r="19" spans="1:2" x14ac:dyDescent="0.25">
      <c r="A19" t="s">
        <v>61</v>
      </c>
      <c r="B19" s="18">
        <f>B18/(1+Assumptions!B26)^(5-0.5*Assumptions!B32)</f>
        <v>2005922233.930559</v>
      </c>
    </row>
    <row r="20" spans="1:2" x14ac:dyDescent="0.25">
      <c r="A20" t="s">
        <v>62</v>
      </c>
      <c r="B20" s="18">
        <f>Forecast!B17+B19</f>
        <v>2534207062.0929484</v>
      </c>
    </row>
    <row r="21" spans="1:2" x14ac:dyDescent="0.25">
      <c r="A21" t="s">
        <v>63</v>
      </c>
      <c r="B21" s="18">
        <f>-Assumptions!B30</f>
        <v>-148252000</v>
      </c>
    </row>
    <row r="22" spans="1:2" x14ac:dyDescent="0.25">
      <c r="A22" t="s">
        <v>64</v>
      </c>
      <c r="B22" s="18">
        <f>B20+B21</f>
        <v>2385955062.0929484</v>
      </c>
    </row>
    <row r="23" spans="1:2" x14ac:dyDescent="0.25">
      <c r="A23" s="19" t="s">
        <v>65</v>
      </c>
      <c r="B23" s="25">
        <f>B22/Assumptions!B31</f>
        <v>29.91966021275923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186.65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14.482194052492297</v>
      </c>
    </row>
    <row r="29" spans="1:2" x14ac:dyDescent="0.25">
      <c r="A29" s="19" t="s">
        <v>73</v>
      </c>
      <c r="B29" s="12">
        <f>B28/B26-1</f>
        <v>-0.9224098898875313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0.098662</v>
      </c>
      <c r="B5" s="31">
        <v>17.344333147162377</v>
      </c>
      <c r="C5" s="31">
        <v>17.85384048225903</v>
      </c>
      <c r="D5" s="31">
        <v>18.428979596520634</v>
      </c>
      <c r="E5" s="31">
        <v>19.084088503513264</v>
      </c>
      <c r="F5" s="31">
        <v>19.838009635001015</v>
      </c>
    </row>
    <row r="6" spans="1:6" x14ac:dyDescent="0.25">
      <c r="A6" s="30">
        <v>0.108662</v>
      </c>
      <c r="B6" s="31">
        <v>15.455718801580145</v>
      </c>
      <c r="C6" s="31">
        <v>15.818512995365552</v>
      </c>
      <c r="D6" s="31">
        <v>16.22168208836424</v>
      </c>
      <c r="E6" s="31">
        <v>16.672925140963684</v>
      </c>
      <c r="F6" s="31">
        <v>17.182031588612432</v>
      </c>
    </row>
    <row r="7" spans="1:6" x14ac:dyDescent="0.25">
      <c r="A7" s="30">
        <v>0.118662</v>
      </c>
      <c r="B7" s="31">
        <v>13.929618333783166</v>
      </c>
      <c r="C7" s="31">
        <v>14.193145729313155</v>
      </c>
      <c r="D7" s="32">
        <v>14.482244660613949</v>
      </c>
      <c r="E7" s="31">
        <v>14.801241367072892</v>
      </c>
      <c r="F7" s="31">
        <v>15.155496306572575</v>
      </c>
    </row>
    <row r="8" spans="1:6" x14ac:dyDescent="0.25">
      <c r="A8" s="30">
        <v>0.128662</v>
      </c>
      <c r="B8" s="31">
        <v>12.670399286476696</v>
      </c>
      <c r="C8" s="31">
        <v>12.864638766177558</v>
      </c>
      <c r="D8" s="31">
        <v>13.075389900784744</v>
      </c>
      <c r="E8" s="31">
        <v>13.305163026837093</v>
      </c>
      <c r="F8" s="31">
        <v>13.557004522499467</v>
      </c>
    </row>
    <row r="9" spans="1:6" x14ac:dyDescent="0.25">
      <c r="A9" s="30">
        <v>0.138662</v>
      </c>
      <c r="B9" s="31">
        <v>11.61336100432537</v>
      </c>
      <c r="C9" s="31">
        <v>11.758013642142064</v>
      </c>
      <c r="D9" s="31">
        <v>11.913441591033473</v>
      </c>
      <c r="E9" s="31">
        <v>12.081132304443486</v>
      </c>
      <c r="F9" s="31">
        <v>12.262860217244855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591331000</v>
      </c>
      <c r="C5" s="18">
        <v>607473000</v>
      </c>
      <c r="D5" s="18">
        <v>578862000</v>
      </c>
      <c r="E5" s="18">
        <v>722870000</v>
      </c>
      <c r="F5" s="8" t="s">
        <v>84</v>
      </c>
    </row>
    <row r="6" spans="1:6" x14ac:dyDescent="0.25">
      <c r="A6" t="s">
        <v>44</v>
      </c>
      <c r="B6" s="18">
        <v>173056000</v>
      </c>
      <c r="C6" s="18">
        <v>195591000</v>
      </c>
      <c r="D6" s="18">
        <v>213392000</v>
      </c>
      <c r="E6" s="18">
        <v>294116000</v>
      </c>
      <c r="F6" s="8" t="s">
        <v>85</v>
      </c>
    </row>
    <row r="7" spans="1:6" x14ac:dyDescent="0.25">
      <c r="A7" t="s">
        <v>86</v>
      </c>
      <c r="B7" s="18">
        <v>33723000</v>
      </c>
      <c r="C7" s="18">
        <v>28601000</v>
      </c>
      <c r="D7" s="18">
        <v>25732000</v>
      </c>
      <c r="E7" s="18">
        <v>22992000</v>
      </c>
      <c r="F7" s="8" t="s">
        <v>87</v>
      </c>
    </row>
    <row r="8" spans="1:6" x14ac:dyDescent="0.25">
      <c r="A8" t="s">
        <v>88</v>
      </c>
      <c r="B8" s="18">
        <v>41789000</v>
      </c>
      <c r="C8" s="18">
        <v>31476000</v>
      </c>
      <c r="D8" s="18">
        <v>28020000</v>
      </c>
      <c r="E8" s="18">
        <v>28393000</v>
      </c>
      <c r="F8" s="8" t="s">
        <v>89</v>
      </c>
    </row>
    <row r="9" spans="1:6" x14ac:dyDescent="0.25">
      <c r="A9" t="s">
        <v>90</v>
      </c>
      <c r="B9" s="18">
        <v>14442000</v>
      </c>
      <c r="C9" s="18">
        <v>39095000</v>
      </c>
      <c r="D9" s="18">
        <v>26819000</v>
      </c>
      <c r="E9" s="18">
        <v>21553000</v>
      </c>
      <c r="F9" s="8" t="s">
        <v>91</v>
      </c>
    </row>
    <row r="10" spans="1:6" x14ac:dyDescent="0.25">
      <c r="A10" t="s">
        <v>92</v>
      </c>
      <c r="B10" s="18">
        <v>521238000</v>
      </c>
      <c r="C10" s="18">
        <v>544709000</v>
      </c>
      <c r="D10" s="18">
        <v>319160000</v>
      </c>
      <c r="E10" s="18">
        <v>342885000</v>
      </c>
      <c r="F10" s="8" t="s">
        <v>93</v>
      </c>
    </row>
    <row r="11" spans="1:6" x14ac:dyDescent="0.25">
      <c r="A11" t="s">
        <v>94</v>
      </c>
      <c r="B11" s="18">
        <v>372986000</v>
      </c>
      <c r="C11" s="18">
        <v>342319000</v>
      </c>
      <c r="D11" s="18">
        <v>188477000</v>
      </c>
      <c r="E11" s="18">
        <v>491686000</v>
      </c>
      <c r="F11" s="8" t="s">
        <v>95</v>
      </c>
    </row>
    <row r="12" spans="1:6" x14ac:dyDescent="0.25">
      <c r="A12" t="s">
        <v>32</v>
      </c>
      <c r="B12" s="34">
        <v>79745393</v>
      </c>
      <c r="C12" s="34">
        <v>81889907</v>
      </c>
      <c r="D12" s="34">
        <v>82800279</v>
      </c>
      <c r="E12" s="34">
        <v>85526157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2026-09-19T00:07:00Z</dcterms:modified>
</cp:coreProperties>
</file>