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<sst xmlns="http://schemas.openxmlformats.org/spreadsheetml/2006/main" count="117" uniqueCount="105">
  <si>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Beazley plc (BEZ.L)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</si>
  <si>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</si>
  <si>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</si>
  <si>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</si>
  <si>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</si>
  <si>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</si>
  <si>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</si>
  <si>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</si>
  <si>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</si>
  <si>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</si>
  <si>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</si>
  <si>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</si>
  <si>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</si>
  <si>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</si>
  <si>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</si>
  <si>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</si>
  <si>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</si>
  <si>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</si>
  <si>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</si>
  <si>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</si>
  <si>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</si>
  <si>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</si>
  <si>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</si>
  <si>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</si>
  <si>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</si>
  <si>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</si>
  <si>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</si>
  <si>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</si>
  <si>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</si>
  <si>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</si>
  <si>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</si>
  <si>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</si>
  <si>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</si>
  <si>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</si>
  <si>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</si>
  <si>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</si>
  <si>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</si>
  <si>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</si>
  <si>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</si>
  <si>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</si>
  <si>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</si>
  <si>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</si>
  <si>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</si>
  <si>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</si>
  <si>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</si>
  <si>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</si>
  <si>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</si>
  <si>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</si>
  <si>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</si>
  <si>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</si>
  <si>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</si>
  <si>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</si>
  <si>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</si>
  <si>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</si>
  <si>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</si>
  <si>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</si>
  <si>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</si>
  <si>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</si>
  <si>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</si>
  <si>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</si>
  <si>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</si>
  <si>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</si>
  <si>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</si>
  <si>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</si>
  <si>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</si>
  <si>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</si>
  <si>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</si>
  <si>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</si>
  <si>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</si>
  <si>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</si>
  <si>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</si>
  <si>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</si>
  <si>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</si>
  <si>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</si>
  <si>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</si>
  <si>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</si>
  <si>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</si>
  <si>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</si>
  <si>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</si>
  <si>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</si>
  <si>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</si>
  <si>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</si>
  <si>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</si>
  <si>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</si>
  <si>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</si>
  <si>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</si>
  <si>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</si>
  <si>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</si>
  <si>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</si>
  <si>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</si>
  <si>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</si>
  <si>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</si>
  <si>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</si>
  <si>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</si>
  <si>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</si>
  <si>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</si>
  <si>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</si>
  <si>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</si>
  <si>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</si>
  <si>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model values the shares at 36.8x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</si>
  <si>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</si>
  <si>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Reports in USD, trades in GBp. Modelled in USD, converted at the end.</t>
  </si>
  <si>
    <t>Adjusted: Consensus rests on as few as 2 analyst estimate(s).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</si>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</sst>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3.9367490083737735</v>
      </c>
    </row>
    <row r="8" spans="1:2" x14ac:dyDescent="0.25">
      <c r="A8" t="s">
        <v>6</v>
      </c>
      <c r="B8" s="6">
        <v>0.19237788088414606</v>
      </c>
    </row>
    <row r="9" spans="1:2" x14ac:dyDescent="0.25">
      <c r="A9" t="s">
        <v>7</v>
      </c>
      <c r="B9" s="6">
        <v>0.16308164716820295</v>
      </c>
    </row>
    <row r="10" spans="1:2" x14ac:dyDescent="0.25">
      <c r="A10" t="s">
        <v>8</v>
      </c>
      <c r="B10" s="6">
        <v>0.16742083214548897</v>
      </c>
    </row>
    <row r="11" spans="1:2" x14ac:dyDescent="0.25">
      <c r="A11" t="s">
        <v>9</v>
      </c>
      <c r="B11" s="6">
        <v>-0.9648562300319489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5.9020954197447955</v>
      </c>
    </row>
    <row r="14" spans="1:3" x14ac:dyDescent="0.25">
      <c r="A14" t="s">
        <v>12</v>
      </c>
      <c r="B14" s="6">
        <v>0.1969082638538512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0.53837</v>
      </c>
      <c r="C19" s="8" t="s">
        <v>19</v>
      </c>
    </row>
    <row r="20" spans="1:2" x14ac:dyDescent="0.25">
      <c r="A20" t="s">
        <v>20</v>
      </c>
      <c r="B20" s="10">
        <f>B17+B19*B18</f>
        <v>0.07461034999999999</v>
      </c>
    </row>
    <row r="21" spans="1:3" x14ac:dyDescent="0.25">
      <c r="A21" t="s">
        <v>21</v>
      </c>
      <c r="B21" s="6">
        <v>0.06584560895113901</v>
      </c>
      <c r="C21" s="8" t="s">
        <v>22</v>
      </c>
    </row>
    <row r="22" spans="1:2" x14ac:dyDescent="0.25">
      <c r="A22" t="s">
        <v>23</v>
      </c>
      <c r="B22" s="11">
        <v>7772376064</v>
      </c>
    </row>
    <row r="23" spans="1:2" x14ac:dyDescent="0.25">
      <c r="A23" t="s">
        <v>24</v>
      </c>
      <c r="B23" s="11">
        <v>626700000</v>
      </c>
    </row>
    <row r="24" spans="1:2" x14ac:dyDescent="0.25">
      <c r="A24" t="s">
        <v>25</v>
      </c>
      <c r="B24" s="10">
        <f>B22/(B22+B23)</f>
        <v>0.9253846500228575</v>
      </c>
    </row>
    <row r="25" spans="1:2" x14ac:dyDescent="0.25">
      <c r="A25" t="s">
        <v>26</v>
      </c>
      <c r="B25" s="10">
        <f>1-B24</f>
        <v>0.07461534997714248</v>
      </c>
    </row>
    <row r="26" spans="1:2" x14ac:dyDescent="0.25">
      <c r="A26" t="s">
        <v>27</v>
      </c>
      <c r="B26" s="12">
        <f>B24*B20+B25*B21*(1-B8)</f>
        <v>0.0730111953291757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1058100000</v>
      </c>
      <c r="C29" s="8" t="s">
        <v>30</v>
      </c>
    </row>
    <row r="30" spans="1:2" x14ac:dyDescent="0.25">
      <c r="A30" t="s">
        <v>31</v>
      </c>
      <c r="B30" s="11">
        <v>-741800000</v>
      </c>
    </row>
    <row r="31" spans="1:2" x14ac:dyDescent="0.25">
      <c r="A31" t="s">
        <v>32</v>
      </c>
      <c r="B31" s="13">
        <v>631000000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1587150000</v>
      </c>
      <c r="C6" s="18">
        <f>B6*(1+C5)</f>
        <v>2380725000</v>
      </c>
      <c r="D6" s="18">
        <f>C6*(1+D5)</f>
        <v>3571087500</v>
      </c>
      <c r="E6" s="18">
        <f>D6*(1+E5)</f>
        <v>5356631250</v>
      </c>
      <c r="F6" s="18">
        <f>E6*(1+F5)</f>
        <v>8034946875</v>
      </c>
    </row>
    <row r="7" spans="1:6" x14ac:dyDescent="0.25">
      <c r="A7" t="s">
        <v>5</v>
      </c>
      <c r="B7" s="10">
        <f>Assumptions!B7</f>
        <v>3.9367490083737735</v>
      </c>
      <c r="C7" s="10">
        <f>Assumptions!B7</f>
        <v>3.9367490083737735</v>
      </c>
      <c r="D7" s="10">
        <f>Assumptions!B7</f>
        <v>3.9367490083737735</v>
      </c>
      <c r="E7" s="10">
        <f>Assumptions!B7</f>
        <v>3.9367490083737735</v>
      </c>
      <c r="F7" s="10">
        <f>Assumptions!B7</f>
        <v>3.9367490083737735</v>
      </c>
    </row>
    <row r="8" spans="1:6" x14ac:dyDescent="0.25">
      <c r="A8" t="s">
        <v>44</v>
      </c>
      <c r="B8" s="18">
        <f>B6*B7</f>
        <v>6248211188.640434</v>
      </c>
      <c r="C8" s="18">
        <f>C6*C7</f>
        <v>9372316782.960651</v>
      </c>
      <c r="D8" s="18">
        <f>D6*D7</f>
        <v>14058475174.440977</v>
      </c>
      <c r="E8" s="18">
        <f>E6*E7</f>
        <v>21087712761.66147</v>
      </c>
      <c r="F8" s="18">
        <f>F6*F7</f>
        <v>31631569142.4922</v>
      </c>
    </row>
    <row r="9" spans="1:6" x14ac:dyDescent="0.25">
      <c r="A9" t="s">
        <v>45</v>
      </c>
      <c r="B9" s="18">
        <f>B8*(1-Assumptions!B8)</f>
        <v>5046193560.853176</v>
      </c>
      <c r="C9" s="18">
        <f>C8*(1-Assumptions!B8)</f>
        <v>7569290341.279764</v>
      </c>
      <c r="D9" s="18">
        <f>D8*(1-Assumptions!B8)</f>
        <v>11353935511.919645</v>
      </c>
      <c r="E9" s="18">
        <f>E8*(1-Assumptions!B8)</f>
        <v>17030903267.87947</v>
      </c>
      <c r="F9" s="18">
        <f>F8*(1-Assumptions!B8)</f>
        <v>25546354901.819202</v>
      </c>
    </row>
    <row r="10" spans="1:6" x14ac:dyDescent="0.25">
      <c r="A10" t="s">
        <v>46</v>
      </c>
      <c r="B10" s="18">
        <f>B6*Assumptions!B9</f>
        <v>258835036.3030133</v>
      </c>
      <c r="C10" s="18">
        <f>C6*Assumptions!B9</f>
        <v>388252554.45452</v>
      </c>
      <c r="D10" s="18">
        <f>D6*Assumptions!B9</f>
        <v>582378831.68178</v>
      </c>
      <c r="E10" s="18">
        <f>E6*Assumptions!B9</f>
        <v>873568247.5226699</v>
      </c>
      <c r="F10" s="18">
        <f>F6*Assumptions!B9</f>
        <v>1310352371.284005</v>
      </c>
    </row>
    <row r="11" spans="1:6" x14ac:dyDescent="0.25">
      <c r="A11" t="s">
        <v>47</v>
      </c>
      <c r="B11" s="18">
        <f>-B6*Assumptions!B10</f>
        <v>-265721973.73971283</v>
      </c>
      <c r="C11" s="18">
        <f>-C6*Assumptions!B10</f>
        <v>-398582960.60956925</v>
      </c>
      <c r="D11" s="18">
        <f>-D6*Assumptions!B10</f>
        <v>-597874440.9143538</v>
      </c>
      <c r="E11" s="18">
        <f>-E6*Assumptions!B10</f>
        <v>-896811661.3715308</v>
      </c>
      <c r="F11" s="18">
        <f>-F6*Assumptions!B10</f>
        <v>-1345217492.0572963</v>
      </c>
    </row>
    <row r="12" spans="1:6" x14ac:dyDescent="0.25">
      <c r="A12" t="s">
        <v>48</v>
      </c>
      <c r="B12" s="18">
        <f>-(B6-Assumptions!B29)*Assumptions!B11</f>
        <v>510457188.49840254</v>
      </c>
      <c r="C12" s="18">
        <f>-(C6-B6)*Assumptions!B11</f>
        <v>765685782.7476038</v>
      </c>
      <c r="D12" s="18">
        <f>-(D6-C6)*Assumptions!B11</f>
        <v>1148528674.1214058</v>
      </c>
      <c r="E12" s="18">
        <f>-(E6-D6)*Assumptions!B11</f>
        <v>1722793011.1821086</v>
      </c>
      <c r="F12" s="18">
        <f>-(F6-E6)*Assumptions!B11</f>
        <v>2584189516.773163</v>
      </c>
    </row>
    <row r="13" spans="1:6" x14ac:dyDescent="0.25">
      <c r="A13" s="19" t="s">
        <v>49</v>
      </c>
      <c r="B13" s="20">
        <f>B9+B10+B11+B12</f>
        <v>5549763811.914879</v>
      </c>
      <c r="C13" s="20">
        <f>C9+C10+C11+C12</f>
        <v>8324645717.872318</v>
      </c>
      <c r="D13" s="20">
        <f>D9+D10+D11+D12</f>
        <v>12486968576.808477</v>
      </c>
      <c r="E13" s="20">
        <f>E9+E10+E11+E12</f>
        <v>18730452865.21272</v>
      </c>
      <c r="F13" s="20">
        <f>F9+F10+F11+F12</f>
        <v>28095679297.819073</v>
      </c>
    </row>
    <row r="14" spans="1:6" x14ac:dyDescent="0.25">
      <c r="A14" t="s">
        <v>50</v>
      </c>
      <c r="B14" s="21">
        <f>1/(1+Assumptions!$B$26)^(1-0.5*Assumptions!$B$32)</f>
        <v>0.9653790579237782</v>
      </c>
      <c r="C14" s="21">
        <f>1/(1+Assumptions!$B$26)^(2-0.5*Assumptions!$B$32)</f>
        <v>0.8996915056674889</v>
      </c>
      <c r="D14" s="21">
        <f>1/(1+Assumptions!$B$26)^(3-0.5*Assumptions!$B$32)</f>
        <v>0.8384735495620658</v>
      </c>
      <c r="E14" s="21">
        <f>1/(1+Assumptions!$B$26)^(4-0.5*Assumptions!$B$32)</f>
        <v>0.7814210636496116</v>
      </c>
      <c r="F14" s="21">
        <f>1/(1+Assumptions!$B$26)^(5-0.5*Assumptions!$B$32)</f>
        <v>0.7282506156982727</v>
      </c>
    </row>
    <row r="15" spans="1:6" x14ac:dyDescent="0.25">
      <c r="A15" s="19" t="s">
        <v>51</v>
      </c>
      <c r="B15" s="20">
        <f>B13*B14</f>
        <v>5357625760.445862</v>
      </c>
      <c r="C15" s="20">
        <f>C13*C14</f>
        <v>7489613040.06096</v>
      </c>
      <c r="D15" s="20">
        <f>D13*D14</f>
        <v>10469992865.866581</v>
      </c>
      <c r="E15" s="20">
        <f>E13*E14</f>
        <v>14636370400.573439</v>
      </c>
      <c r="F15" s="20">
        <f>F13*F14</f>
        <v>20460695747.097954</v>
      </c>
    </row>
    <row r="17" spans="1:2" x14ac:dyDescent="0.25">
      <c r="A17" s="22" t="s">
        <v>52</v>
      </c>
      <c r="B17" s="23">
        <f>SUM(B15:F15)</f>
        <v>58414297814.04479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28095679297.819073</v>
      </c>
    </row>
    <row r="5" spans="1:2" x14ac:dyDescent="0.25">
      <c r="A5" t="s">
        <v>56</v>
      </c>
      <c r="B5" s="18">
        <f>IF(Assumptions!$B$33=0,B4,B4-Forecast!F11-Forecast!F10-Forecast!F12)</f>
        <v>25546354901.819202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0.12696267546473033</v>
      </c>
    </row>
    <row r="7" spans="1:2" x14ac:dyDescent="0.25">
      <c r="A7" t="s">
        <v>58</v>
      </c>
      <c r="B7" s="18">
        <f>-MAX(Forecast!F9,0)*B6</f>
        <v>-3243433566.7064943</v>
      </c>
    </row>
    <row r="8" spans="1:2" x14ac:dyDescent="0.25">
      <c r="A8" t="s">
        <v>59</v>
      </c>
      <c r="B8" s="18">
        <f>IF(OR(Assumptions!$B$33=0,Assumptions!B12&lt;=0),B5,MAX(B5+B7,0))</f>
        <v>22302921335.11271</v>
      </c>
    </row>
    <row r="9" spans="1:2" x14ac:dyDescent="0.25">
      <c r="A9" t="s">
        <v>60</v>
      </c>
      <c r="B9" s="18">
        <f>B8*(1+Assumptions!B12)/(Assumptions!B26-Assumptions!B12)</f>
        <v>476149244186.77277</v>
      </c>
    </row>
    <row r="10" spans="1:2" x14ac:dyDescent="0.25">
      <c r="A10" t="s">
        <v>61</v>
      </c>
      <c r="B10" s="18">
        <f>B9/(1+Assumptions!B26)^(5-0.5*Assumptions!B32)</f>
        <v>346755980243.2844</v>
      </c>
    </row>
    <row r="11" spans="1:2" x14ac:dyDescent="0.25">
      <c r="A11" t="s">
        <v>62</v>
      </c>
      <c r="B11" s="18">
        <f>Forecast!B17+B10</f>
        <v>405170278057.3292</v>
      </c>
    </row>
    <row r="12" spans="1:2" x14ac:dyDescent="0.25">
      <c r="A12" t="s">
        <v>63</v>
      </c>
      <c r="B12" s="18">
        <f>-Assumptions!B30</f>
        <v>741800000</v>
      </c>
    </row>
    <row r="13" spans="1:2" x14ac:dyDescent="0.25">
      <c r="A13" t="s">
        <v>64</v>
      </c>
      <c r="B13" s="18">
        <f>B11+B12</f>
        <v>405912078057.3292</v>
      </c>
    </row>
    <row r="14" spans="1:2" x14ac:dyDescent="0.25">
      <c r="A14" s="19" t="s">
        <v>65</v>
      </c>
      <c r="B14" s="24">
        <f>B13/Assumptions!B31</f>
        <v>643.2838004078118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32941921513.776203</v>
      </c>
    </row>
    <row r="18" spans="1:2" x14ac:dyDescent="0.25">
      <c r="A18" t="s">
        <v>60</v>
      </c>
      <c r="B18" s="18">
        <f>B17*Assumptions!B13</f>
        <v>194426364084.05106</v>
      </c>
    </row>
    <row r="19" spans="1:2" x14ac:dyDescent="0.25">
      <c r="A19" t="s">
        <v>61</v>
      </c>
      <c r="B19" s="18">
        <f>B18/(1+Assumptions!B26)^(5-0.5*Assumptions!B32)</f>
        <v>141591119352.1867</v>
      </c>
    </row>
    <row r="20" spans="1:2" x14ac:dyDescent="0.25">
      <c r="A20" t="s">
        <v>62</v>
      </c>
      <c r="B20" s="18">
        <f>Forecast!B17+B19</f>
        <v>200005417166.2315</v>
      </c>
    </row>
    <row r="21" spans="1:2" x14ac:dyDescent="0.25">
      <c r="A21" t="s">
        <v>63</v>
      </c>
      <c r="B21" s="18">
        <f>-Assumptions!B30</f>
        <v>741800000</v>
      </c>
    </row>
    <row r="22" spans="1:2" x14ac:dyDescent="0.25">
      <c r="A22" t="s">
        <v>64</v>
      </c>
      <c r="B22" s="18">
        <f>B20+B21</f>
        <v>200747217166.2315</v>
      </c>
    </row>
    <row r="23" spans="1:2" x14ac:dyDescent="0.25">
      <c r="A23" s="19" t="s">
        <v>65</v>
      </c>
      <c r="B23" s="25">
        <f>B22/Assumptions!B31</f>
        <v>318.1413901208106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1305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48029.49838984845</v>
      </c>
    </row>
    <row r="29" spans="1:2" x14ac:dyDescent="0.25">
      <c r="A29" s="19" t="s">
        <v>73</v>
      </c>
      <c r="B29" s="12">
        <f>B28/B26-1</f>
        <v>35.804213325554365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0.053011</v>
      </c>
      <c r="B5" s="31">
        <v>890.9963432135273</v>
      </c>
      <c r="C5" s="31">
        <v>990.2066076425143</v>
      </c>
      <c r="D5" s="31">
        <v>1124.5443049243113</v>
      </c>
      <c r="E5" s="31">
        <v>1316.907679063619</v>
      </c>
      <c r="F5" s="31">
        <v>1615.621928709189</v>
      </c>
    </row>
    <row r="6" spans="1:6" x14ac:dyDescent="0.25">
      <c r="A6" s="30">
        <v>0.063011</v>
      </c>
      <c r="B6" s="31">
        <v>697.1299374112049</v>
      </c>
      <c r="C6" s="31">
        <v>751.7346872677479</v>
      </c>
      <c r="D6" s="31">
        <v>820.4995137562037</v>
      </c>
      <c r="E6" s="31">
        <v>909.8586705943843</v>
      </c>
      <c r="F6" s="31">
        <v>1030.8405021914825</v>
      </c>
    </row>
    <row r="7" spans="1:6" x14ac:dyDescent="0.25">
      <c r="A7" s="30">
        <v>0.073011</v>
      </c>
      <c r="B7" s="31">
        <v>570.3179181731876</v>
      </c>
      <c r="C7" s="31">
        <v>603.4316408288194</v>
      </c>
      <c r="D7" s="32">
        <v>643.2865392174997</v>
      </c>
      <c r="E7" s="31">
        <v>692.2335848580435</v>
      </c>
      <c r="F7" s="31">
        <v>753.8607446226184</v>
      </c>
    </row>
    <row r="8" spans="1:6" x14ac:dyDescent="0.25">
      <c r="A8" s="30">
        <v>0.083011</v>
      </c>
      <c r="B8" s="31">
        <v>480.9758980498691</v>
      </c>
      <c r="C8" s="31">
        <v>502.3624248165784</v>
      </c>
      <c r="D8" s="31">
        <v>527.3118054765872</v>
      </c>
      <c r="E8" s="31">
        <v>556.8321856675842</v>
      </c>
      <c r="F8" s="31">
        <v>592.3516754677768</v>
      </c>
    </row>
    <row r="9" spans="1:6" x14ac:dyDescent="0.25">
      <c r="A9" s="30">
        <v>0.093011</v>
      </c>
      <c r="B9" s="31">
        <v>414.68903236394385</v>
      </c>
      <c r="C9" s="31">
        <v>429.11461000243094</v>
      </c>
      <c r="D9" s="31">
        <v>445.55995145475595</v>
      </c>
      <c r="E9" s="31">
        <v>464.5058689157347</v>
      </c>
      <c r="F9" s="31">
        <v>486.59894045038664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1058100000</v>
      </c>
      <c r="C5" s="18">
        <v>1013400000</v>
      </c>
      <c r="D5" s="18">
        <v>669100000</v>
      </c>
      <c r="E5" s="18">
        <v>51300000</v>
      </c>
      <c r="F5" s="8" t="s">
        <v>84</v>
      </c>
    </row>
    <row r="6" spans="1:6" x14ac:dyDescent="0.25">
      <c r="A6" t="s">
        <v>44</v>
      </c>
      <c r="B6" s="18">
        <v>1146500000</v>
      </c>
      <c r="C6" s="18">
        <v>1423500000</v>
      </c>
      <c r="D6" s="18">
        <v>1254400000</v>
      </c>
      <c r="E6" s="18">
        <v>584000000</v>
      </c>
      <c r="F6" s="8" t="s">
        <v>85</v>
      </c>
    </row>
    <row r="7" spans="1:6" x14ac:dyDescent="0.25">
      <c r="A7" t="s">
        <v>86</v>
      </c>
      <c r="B7" s="18">
        <v>44700000</v>
      </c>
      <c r="C7" s="18">
        <v>27600000</v>
      </c>
      <c r="D7" s="18">
        <v>0</v>
      </c>
      <c r="E7" s="18">
        <v>29900000</v>
      </c>
      <c r="F7" s="8" t="s">
        <v>87</v>
      </c>
    </row>
    <row r="8" spans="1:6" x14ac:dyDescent="0.25">
      <c r="A8" t="s">
        <v>88</v>
      </c>
      <c r="B8" s="18">
        <v>66900000</v>
      </c>
      <c r="C8" s="18">
        <v>62800000</v>
      </c>
      <c r="D8" s="18">
        <v>55200000</v>
      </c>
      <c r="E8" s="18">
        <v>23700000</v>
      </c>
      <c r="F8" s="8" t="s">
        <v>89</v>
      </c>
    </row>
    <row r="9" spans="1:6" x14ac:dyDescent="0.25">
      <c r="A9" t="s">
        <v>90</v>
      </c>
      <c r="B9" s="18">
        <v>-306800000</v>
      </c>
      <c r="C9" s="18">
        <v>-332200000</v>
      </c>
      <c r="D9" s="18">
        <v>-482400000</v>
      </c>
      <c r="E9" s="18">
        <v>-298600000</v>
      </c>
      <c r="F9" s="8" t="s">
        <v>91</v>
      </c>
    </row>
    <row r="10" spans="1:6" x14ac:dyDescent="0.25">
      <c r="A10" t="s">
        <v>92</v>
      </c>
      <c r="B10" s="18">
        <v>626700000</v>
      </c>
      <c r="C10" s="18">
        <v>615600000</v>
      </c>
      <c r="D10" s="18">
        <v>624900000</v>
      </c>
      <c r="E10" s="18">
        <v>620700000</v>
      </c>
      <c r="F10" s="8" t="s">
        <v>93</v>
      </c>
    </row>
    <row r="11" spans="1:6" x14ac:dyDescent="0.25">
      <c r="A11" t="s">
        <v>94</v>
      </c>
      <c r="B11" s="18">
        <v>1368500000</v>
      </c>
      <c r="C11" s="18">
        <v>882100000</v>
      </c>
      <c r="D11" s="18">
        <v>812300000</v>
      </c>
      <c r="E11" s="18">
        <v>652500000</v>
      </c>
      <c r="F11" s="8" t="s">
        <v>95</v>
      </c>
    </row>
    <row r="12" spans="1:6" x14ac:dyDescent="0.25">
      <c r="A12" t="s">
        <v>32</v>
      </c>
      <c r="B12" s="34">
        <v>631000000</v>
      </c>
      <c r="C12" s="34">
        <v>663300000</v>
      </c>
      <c r="D12" s="34">
        <v>678300000</v>
      </c>
      <c r="E12" s="34">
        <v>619700000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1" ht="22" customHeight="1" spans="1:6" x14ac:dyDescent="0.25">
      <c r="A21" s="35" t="s">
        <v>103</v>
      </c>
      <c r="B21" s="35"/>
      <c r="C21" s="35"/>
      <c r="D21" s="35"/>
      <c r="E21" s="35"/>
      <c r="F21" s="35"/>
    </row>
    <row r="23" spans="1:1" x14ac:dyDescent="0.25">
      <c r="A23" s="36" t="s">
        <v>104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2026-09-19T00:08:13Z</dcterms:modified>
</cp:coreProperties>
</file>