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Assumptions" state="visible" r:id="rId4"/>
    <sheet sheetId="2" name="Forecast" state="visible" r:id="rId5"/>
    <sheet sheetId="3" name="Valuation" state="visible" r:id="rId6"/>
    <sheet sheetId="4" name="Sensitivity" state="visible" r:id="rId7"/>
    <sheet sheetId="5" name="Source data" state="visible" r:id="rId8"/>
  </sheets>
  <calcPr calcId="171027" fullCalcOnLoad="1"/>
</workbook>
</file>

<file path=xl/sharedStrings.xml><?xml version="1.0" encoding="utf-8"?>
<sst xmlns="http://schemas.openxmlformats.org/spreadsheetml/2006/main" count="120" uniqueCount="107">
  <si>
    <t>Brown-Forman Corporation (BF-B)</t>
  </si>
  <si>
    <t>DCF Studio - Base case</t>
  </si>
  <si>
    <t>Drivers</t>
  </si>
  <si>
    <t>Revenue growth</t>
  </si>
  <si>
    <t>EBIT margin</t>
  </si>
  <si>
    <t>Tax rate</t>
  </si>
  <si>
    <t>Depreciation &amp; amortisation, % of revenue</t>
  </si>
  <si>
    <t>Capital expenditure, % of revenue</t>
  </si>
  <si>
    <t>Year 1. Fades to the steady state by the final year</t>
  </si>
  <si>
    <t>Change in working capital, % of revenue growth</t>
  </si>
  <si>
    <t>Terminal growth</t>
  </si>
  <si>
    <t>Exit EV/EBITDA</t>
  </si>
  <si>
    <t>Terminal ROIC</t>
  </si>
  <si>
    <t>From reported invested capital</t>
  </si>
  <si>
    <t>Depreciation alone, % of revenue</t>
  </si>
  <si>
    <t>The accounts do not separate it from amortisation</t>
  </si>
  <si>
    <t>Discount rate</t>
  </si>
  <si>
    <t>Risk-free rate</t>
  </si>
  <si>
    <t>US 10-year Treasury (^TNX), 2026-11-02</t>
  </si>
  <si>
    <t>Equity risk premium</t>
  </si>
  <si>
    <t>Beta</t>
  </si>
  <si>
    <t>As reported</t>
  </si>
  <si>
    <t>Cost of equity</t>
  </si>
  <si>
    <t>Cost of debt</t>
  </si>
  <si>
    <t>Risk-free + 40bp, the spread for a AAA rating at 11.2x interest cover. Book interest / average debt was lower, at 3.9%.</t>
  </si>
  <si>
    <t>Market capitalisation (USD m)</t>
  </si>
  <si>
    <t>Total debt (USD m)</t>
  </si>
  <si>
    <t>Equity weight</t>
  </si>
  <si>
    <t>Debt weight</t>
  </si>
  <si>
    <t>WACC</t>
  </si>
  <si>
    <t>Base year</t>
  </si>
  <si>
    <t>Revenue, last reported year (USD m)</t>
  </si>
  <si>
    <t>Fiscal year ended 2026-04-30</t>
  </si>
  <si>
    <t>Net debt (USD m)</t>
  </si>
  <si>
    <t>Diluted shares</t>
  </si>
  <si>
    <t>Mid-year discounting (1 = yes, 0 = no)</t>
  </si>
  <si>
    <t>Terminal year on a steady-state footing (1 = yes, 0 = no)</t>
  </si>
  <si>
    <t>Forecast cashflows (USD m)</t>
  </si>
  <si>
    <t>Every figure below is a formula. Edit the drivers on Assumptions.</t>
  </si>
  <si>
    <t>Year</t>
  </si>
  <si>
    <t>FY27</t>
  </si>
  <si>
    <t>FY28</t>
  </si>
  <si>
    <t>FY29</t>
  </si>
  <si>
    <t>FY30</t>
  </si>
  <si>
    <t>FY31</t>
  </si>
  <si>
    <t>FY32</t>
  </si>
  <si>
    <t>FY33</t>
  </si>
  <si>
    <t>FY34</t>
  </si>
  <si>
    <t>FY35</t>
  </si>
  <si>
    <t>FY36</t>
  </si>
  <si>
    <t>Revenue</t>
  </si>
  <si>
    <t>EBIT</t>
  </si>
  <si>
    <t>NOPAT</t>
  </si>
  <si>
    <t>Add depreciation &amp; amortisation</t>
  </si>
  <si>
    <t>Less capital expenditure</t>
  </si>
  <si>
    <t>Less increase in working capital</t>
  </si>
  <si>
    <t>Free cashflow to firm</t>
  </si>
  <si>
    <t>Discount factor</t>
  </si>
  <si>
    <t>Present value</t>
  </si>
  <si>
    <t>Present value of the explicit forecast</t>
  </si>
  <si>
    <t>Steady-state capital expenditure, % of revenue</t>
  </si>
  <si>
    <t>Valuation (USD m, except per share)</t>
  </si>
  <si>
    <t>Terminal value - perpetuity growth</t>
  </si>
  <si>
    <t>Final year free cashflow</t>
  </si>
  <si>
    <t>Operating profit before amortisation, after tax</t>
  </si>
  <si>
    <t>Reinvestment rate (g / ROIC)</t>
  </si>
  <si>
    <t>Less reinvestment to fund terminal growth</t>
  </si>
  <si>
    <t>Cashflow capitalised</t>
  </si>
  <si>
    <t>Terminal value, undiscounted</t>
  </si>
  <si>
    <t>Terminal value, discounted</t>
  </si>
  <si>
    <t>Enterprise value</t>
  </si>
  <si>
    <t>Less net debt</t>
  </si>
  <si>
    <t>Equity value</t>
  </si>
  <si>
    <t>Value per share</t>
  </si>
  <si>
    <t>Terminal value - exit multiple</t>
  </si>
  <si>
    <t>Final year EBITDA</t>
  </si>
  <si>
    <t>Against the market</t>
  </si>
  <si>
    <t>Market price (USD)</t>
  </si>
  <si>
    <t>Conversion, USD to USD</t>
  </si>
  <si>
    <t>Same currency, no conversion</t>
  </si>
  <si>
    <t>Value per share (USD)</t>
  </si>
  <si>
    <t>Implied upside</t>
  </si>
  <si>
    <t>Value per share (USD) by WACC and terminal growth</t>
  </si>
  <si>
    <t>WACC down the side, terminal growth across the top. Static grid: computed by DCF Studio, not linked to the sheets above. A live data table needs Excel to build it (Data &gt; What-If &gt; Data Table).</t>
  </si>
  <si>
    <t>Reported history and provenance (USD m, except shares)</t>
  </si>
  <si>
    <t>Fiscal year end</t>
  </si>
  <si>
    <t>2026-04-30</t>
  </si>
  <si>
    <t>2025-04-30</t>
  </si>
  <si>
    <t>2024-04-30</t>
  </si>
  <si>
    <t>2023-04-30</t>
  </si>
  <si>
    <t>Yahoo field, latest year</t>
  </si>
  <si>
    <t>totalRevenue</t>
  </si>
  <si>
    <t>operatingIncome</t>
  </si>
  <si>
    <t>Depreciation &amp; amortisation</t>
  </si>
  <si>
    <t>depreciationAndAmortization</t>
  </si>
  <si>
    <t>Capital expenditure</t>
  </si>
  <si>
    <t>capitalExpenditure</t>
  </si>
  <si>
    <t>Change in working capital</t>
  </si>
  <si>
    <t>changeInWorkingCapital</t>
  </si>
  <si>
    <t>Total debt</t>
  </si>
  <si>
    <t>totalDebt</t>
  </si>
  <si>
    <t>Cash and equivalents</t>
  </si>
  <si>
    <t>cashCashEquivalentsAndShortTermInvestments</t>
  </si>
  <si>
    <t>dilutedAverageShares</t>
  </si>
  <si>
    <t>Model notes</t>
  </si>
  <si>
    <t>Adjusted: Capital expenditure runs at 4.2% of revenue against depreciation of 2.1%. A perpetuity has to be a steady state, so the forecast tapers capex to maintenance at depreciation plus the reinvestment terminal growth requires (g/ROIC of NOPAT), and the terminal year carries on from there. The bridge is shown under Terminal Value.</t>
  </si>
  <si>
    <t>Data: Yahoo Finance. Risk-free rate: US 10-year Treasury (^TNX), 2026-11-02. General information, not advice.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</si>
</sst>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0.0&quot;x&quot;"/>
    <numFmt numFmtId="165" formatCode="0.000"/>
    <numFmt numFmtId="166" formatCode="#,##0.0,,;[Red](#,##0.0,,)"/>
    <numFmt numFmtId="167" formatCode="0.0000"/>
    <numFmt numFmtId="168" formatCode="#,##0.00;[Red](#,##0.00)"/>
  </numFmts>
  <fonts count="10" x14ac:knownFonts="1">
    <font>
      <color theme="1"/>
      <family val="2"/>
      <scheme val="minor"/>
      <sz val="11"/>
      <name val="Calibri"/>
    </font>
    <font>
      <b/>
      <sz val="14"/>
    </font>
    <font>
      <color rgb="FF666666"/>
    </font>
    <font>
      <b/>
      <sz val="11"/>
    </font>
    <font>
      <color rgb="FF0000CC"/>
    </font>
    <font>
      <color rgb="FF666666"/>
      <sz val="9"/>
    </font>
    <font>
      <b/>
    </font>
    <font>
      <b/>
      <sz val="12"/>
    </font>
    <font>
      <i/>
      <color rgb="FF666666"/>
      <sz val="9"/>
    </font>
    <font>
      <b/>
      <sz val="9"/>
    </font>
  </fonts>
  <fills count="3">
    <fill>
      <patternFill patternType="none"/>
    </fill>
    <fill>
      <patternFill patternType="gray125"/>
    </fill>
    <fill>
      <patternFill patternType="solid">
        <fgColor rgb="FFFDF6E3"/>
      </patternFill>
    </fill>
  </fills>
  <borders count="6">
    <border>
      <left/>
      <right/>
      <top/>
      <bottom/>
      <diagonal/>
    </border>
    <border>
      <left/>
      <right/>
      <top/>
      <bottom style="thin"/>
      <diagonal/>
    </border>
    <border>
      <left/>
      <right/>
      <top style="thin"/>
      <bottom/>
      <diagonal/>
    </border>
    <border>
      <left/>
      <right/>
      <top style="thin"/>
      <bottom style="double"/>
      <diagonal/>
    </border>
    <border>
      <left/>
      <right style="thin"/>
      <top/>
      <bottom/>
      <diagonal/>
    </border>
    <border>
      <left style="medium"/>
      <right style="medium"/>
      <top style="medium"/>
      <bottom style="medium"/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1" xfId="0" applyFont="1" applyBorder="1"/>
    <xf numFmtId="0" fontId="0" fillId="0" borderId="1" xfId="0" applyBorder="1"/>
    <xf numFmtId="10" fontId="4" fillId="2" borderId="0" xfId="0" applyNumberFormat="1" applyFont="1" applyFill="1"/>
    <xf numFmtId="0" fontId="5" fillId="0" borderId="0" xfId="0" applyFont="1" applyAlignment="1">
      <alignment indent="1"/>
    </xf>
    <xf numFmtId="164" fontId="4" fillId="2" borderId="0" xfId="0" applyNumberFormat="1" applyFont="1" applyFill="1"/>
    <xf numFmtId="165" fontId="4" fillId="2" borderId="0" xfId="0" applyNumberFormat="1" applyFont="1" applyFill="1"/>
    <xf numFmtId="10" fontId="0" fillId="0" borderId="0" xfId="0" applyNumberFormat="1"/>
    <xf numFmtId="166" fontId="4" fillId="2" borderId="0" xfId="0" applyNumberFormat="1" applyFont="1" applyFill="1"/>
    <xf numFmtId="10" fontId="6" fillId="0" borderId="0" xfId="0" applyNumberFormat="1" applyFont="1"/>
    <xf numFmtId="3" fontId="4" fillId="2" borderId="0" xfId="0" applyNumberFormat="1" applyFont="1" applyFill="1"/>
    <xf numFmtId="1" fontId="4" fillId="2" borderId="0" xfId="0" applyNumberFormat="1" applyFont="1" applyFill="1"/>
    <xf numFmtId="0" fontId="7" fillId="0" borderId="0" xfId="0" applyFont="1"/>
    <xf numFmtId="0" fontId="8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right"/>
    </xf>
    <xf numFmtId="166" fontId="0" fillId="0" borderId="0" xfId="0" applyNumberFormat="1"/>
    <xf numFmtId="0" fontId="6" fillId="0" borderId="0" xfId="0" applyFont="1"/>
    <xf numFmtId="166" fontId="6" fillId="0" borderId="0" xfId="0" applyNumberFormat="1" applyFont="1"/>
    <xf numFmtId="167" fontId="0" fillId="0" borderId="0" xfId="0" applyNumberFormat="1"/>
    <xf numFmtId="0" fontId="6" fillId="0" borderId="2" xfId="0" applyFont="1" applyBorder="1"/>
    <xf numFmtId="166" fontId="6" fillId="0" borderId="3" xfId="0" applyNumberFormat="1" applyFont="1" applyBorder="1"/>
    <xf numFmtId="168" fontId="7" fillId="0" borderId="0" xfId="0" applyNumberFormat="1" applyFont="1"/>
    <xf numFmtId="168" fontId="6" fillId="0" borderId="0" xfId="0" applyNumberFormat="1" applyFont="1"/>
    <xf numFmtId="168" fontId="4" fillId="2" borderId="0" xfId="0" applyNumberFormat="1" applyFont="1" applyFill="1"/>
    <xf numFmtId="167" fontId="4" fillId="2" borderId="0" xfId="0" applyNumberFormat="1" applyFont="1" applyFill="1"/>
    <xf numFmtId="168" fontId="0" fillId="0" borderId="0" xfId="0" applyNumberFormat="1"/>
    <xf numFmtId="10" fontId="6" fillId="0" borderId="1" xfId="0" applyNumberFormat="1" applyFont="1" applyBorder="1" applyAlignment="1">
      <alignment horizontal="right"/>
    </xf>
    <xf numFmtId="10" fontId="6" fillId="0" borderId="4" xfId="0" applyNumberFormat="1" applyFont="1" applyBorder="1"/>
    <xf numFmtId="168" fontId="0" fillId="0" borderId="0" xfId="0" applyNumberFormat="1" applyAlignment="1">
      <alignment horizontal="right"/>
    </xf>
    <xf numFmtId="168" fontId="6" fillId="0" borderId="5" xfId="0" applyNumberFormat="1" applyFont="1" applyBorder="1" applyAlignment="1">
      <alignment horizontal="right"/>
    </xf>
    <xf numFmtId="0" fontId="9" fillId="0" borderId="1" xfId="0" applyFont="1" applyBorder="1" applyAlignment="1">
      <alignment indent="1"/>
    </xf>
    <xf numFmtId="3" fontId="0" fillId="0" borderId="0" xfId="0" applyNumberFormat="1"/>
    <xf numFmtId="0" fontId="0" fillId="0" borderId="0" xfId="0" applyAlignment="1">
      <alignment vertical="top" wrapText="1"/>
    </xf>
    <xf numFmtId="0" fontId="5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3"/>
  <sheetViews>
    <sheetView workbookViewId="0" showGridLines="0"/>
  </sheetViews>
  <sheetFormatPr defaultRowHeight="15" outlineLevelRow="0" outlineLevelCol="0" x14ac:dyDescent="55"/>
  <cols>
    <col min="1" max="1" width="40" customWidth="1"/>
    <col min="2" max="2" width="16" customWidth="1"/>
    <col min="3" max="3" width="52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5" spans="1:3" x14ac:dyDescent="0.25">
      <c r="A5" s="3" t="s">
        <v>2</v>
      </c>
      <c r="B5" s="4"/>
      <c r="C5" s="4"/>
    </row>
    <row r="6" spans="1:2" x14ac:dyDescent="0.25">
      <c r="A6" t="s">
        <v>3</v>
      </c>
      <c r="B6" s="5">
        <v>0.001604859979633444</v>
      </c>
    </row>
    <row r="7" spans="1:2" x14ac:dyDescent="0.25">
      <c r="A7" t="s">
        <v>4</v>
      </c>
      <c r="B7" s="5">
        <v>0.28536320778199264</v>
      </c>
    </row>
    <row r="8" spans="1:2" x14ac:dyDescent="0.25">
      <c r="A8" t="s">
        <v>5</v>
      </c>
      <c r="B8" s="5">
        <v>0.20360434967907648</v>
      </c>
    </row>
    <row r="9" spans="1:2" x14ac:dyDescent="0.25">
      <c r="A9" t="s">
        <v>6</v>
      </c>
      <c r="B9" s="5">
        <v>0.02126330434555079</v>
      </c>
    </row>
    <row r="10" spans="1:3" x14ac:dyDescent="0.25">
      <c r="A10" t="s">
        <v>7</v>
      </c>
      <c r="B10" s="5">
        <v>0.04177683647213367</v>
      </c>
      <c r="C10" s="6" t="s">
        <v>8</v>
      </c>
    </row>
    <row r="11" spans="1:2" x14ac:dyDescent="0.25">
      <c r="A11" t="s">
        <v>9</v>
      </c>
      <c r="B11" s="5">
        <v>0.5</v>
      </c>
    </row>
    <row r="12" spans="1:2" x14ac:dyDescent="0.25">
      <c r="A12" t="s">
        <v>10</v>
      </c>
      <c r="B12" s="5">
        <v>0.025</v>
      </c>
    </row>
    <row r="13" spans="1:2" x14ac:dyDescent="0.25">
      <c r="A13" t="s">
        <v>11</v>
      </c>
      <c r="B13" s="7">
        <v>12.829524064308682</v>
      </c>
    </row>
    <row r="14" spans="1:3" x14ac:dyDescent="0.25">
      <c r="A14" t="s">
        <v>12</v>
      </c>
      <c r="B14" s="5">
        <v>0.14220701216471707</v>
      </c>
      <c r="C14" s="6" t="s">
        <v>13</v>
      </c>
    </row>
    <row r="15" spans="1:3" x14ac:dyDescent="0.25">
      <c r="A15" t="s">
        <v>14</v>
      </c>
      <c r="B15" s="5">
        <v>0.02126330434555079</v>
      </c>
      <c r="C15" s="6" t="s">
        <v>15</v>
      </c>
    </row>
    <row r="16" spans="1:3" x14ac:dyDescent="0.25">
      <c r="A16" s="3" t="s">
        <v>16</v>
      </c>
      <c r="B16" s="4"/>
      <c r="C16" s="4"/>
    </row>
    <row r="17" spans="1:3" x14ac:dyDescent="0.25">
      <c r="A17" t="s">
        <v>17</v>
      </c>
      <c r="B17" s="5">
        <v>0.048940000000000004</v>
      </c>
      <c r="C17" s="6" t="s">
        <v>18</v>
      </c>
    </row>
    <row r="18" spans="1:2" x14ac:dyDescent="0.25">
      <c r="A18" t="s">
        <v>19</v>
      </c>
      <c r="B18" s="5">
        <v>0.0423</v>
      </c>
    </row>
    <row r="19" spans="1:3" x14ac:dyDescent="0.25">
      <c r="A19" t="s">
        <v>20</v>
      </c>
      <c r="B19" s="8">
        <v>0.5377</v>
      </c>
      <c r="C19" s="6" t="s">
        <v>21</v>
      </c>
    </row>
    <row r="20" spans="1:2" x14ac:dyDescent="0.25">
      <c r="A20" t="s">
        <v>22</v>
      </c>
      <c r="B20" s="9">
        <f>B17+B19*B18</f>
        <v>0.07168471</v>
      </c>
    </row>
    <row r="21" spans="1:3" x14ac:dyDescent="0.25">
      <c r="A21" t="s">
        <v>23</v>
      </c>
      <c r="B21" s="5">
        <v>0.05294</v>
      </c>
      <c r="C21" s="6" t="s">
        <v>24</v>
      </c>
    </row>
    <row r="22" spans="1:2" x14ac:dyDescent="0.25">
      <c r="A22" t="s">
        <v>25</v>
      </c>
      <c r="B22" s="10">
        <v>13765927936</v>
      </c>
    </row>
    <row r="23" spans="1:2" x14ac:dyDescent="0.25">
      <c r="A23" t="s">
        <v>26</v>
      </c>
      <c r="B23" s="10">
        <v>2502000000</v>
      </c>
    </row>
    <row r="24" spans="1:2" x14ac:dyDescent="0.25">
      <c r="A24" t="s">
        <v>27</v>
      </c>
      <c r="B24" s="9">
        <f>B22/(B22+B23)</f>
        <v>0.8462004497534553</v>
      </c>
    </row>
    <row r="25" spans="1:2" x14ac:dyDescent="0.25">
      <c r="A25" t="s">
        <v>28</v>
      </c>
      <c r="B25" s="9">
        <f>1-B24</f>
        <v>0.15379955024654468</v>
      </c>
    </row>
    <row r="26" spans="1:2" x14ac:dyDescent="0.25">
      <c r="A26" t="s">
        <v>29</v>
      </c>
      <c r="B26" s="11">
        <f>B24*B20+B25*B21*(1-B8)</f>
        <v>0.06714400524527186</v>
      </c>
    </row>
    <row r="28" spans="1:3" x14ac:dyDescent="0.25">
      <c r="A28" s="3" t="s">
        <v>30</v>
      </c>
      <c r="B28" s="4"/>
      <c r="C28" s="4"/>
    </row>
    <row r="29" spans="1:3" x14ac:dyDescent="0.25">
      <c r="A29" t="s">
        <v>31</v>
      </c>
      <c r="B29" s="10">
        <v>3928000000</v>
      </c>
      <c r="C29" s="6" t="s">
        <v>32</v>
      </c>
    </row>
    <row r="30" spans="1:2" x14ac:dyDescent="0.25">
      <c r="A30" t="s">
        <v>33</v>
      </c>
      <c r="B30" s="10">
        <v>2194000000</v>
      </c>
    </row>
    <row r="31" spans="1:2" x14ac:dyDescent="0.25">
      <c r="A31" t="s">
        <v>34</v>
      </c>
      <c r="B31" s="12">
        <v>466733000</v>
      </c>
    </row>
    <row r="32" spans="1:2" x14ac:dyDescent="0.25">
      <c r="A32" t="s">
        <v>35</v>
      </c>
      <c r="B32" s="13">
        <v>1</v>
      </c>
    </row>
    <row r="33" spans="1:2" x14ac:dyDescent="0.25">
      <c r="A33" t="s">
        <v>36</v>
      </c>
      <c r="B33" s="13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0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2" customWidth="1"/>
    <col min="2" max="11" width="15" customWidth="1"/>
  </cols>
  <sheetData>
    <row r="1" spans="1:1" x14ac:dyDescent="0.25">
      <c r="A1" s="14" t="s">
        <v>37</v>
      </c>
    </row>
    <row r="2" spans="1:1" x14ac:dyDescent="0.25">
      <c r="A2" s="15" t="s">
        <v>38</v>
      </c>
    </row>
    <row r="4" spans="1:11" x14ac:dyDescent="0.25">
      <c r="A4" s="16" t="s">
        <v>39</v>
      </c>
      <c r="B4" s="17" t="s">
        <v>40</v>
      </c>
      <c r="C4" s="17" t="s">
        <v>41</v>
      </c>
      <c r="D4" s="17" t="s">
        <v>42</v>
      </c>
      <c r="E4" s="17" t="s">
        <v>43</v>
      </c>
      <c r="F4" s="17" t="s">
        <v>44</v>
      </c>
      <c r="G4" s="17" t="s">
        <v>45</v>
      </c>
      <c r="H4" s="17" t="s">
        <v>46</v>
      </c>
      <c r="I4" s="17" t="s">
        <v>47</v>
      </c>
      <c r="J4" s="17" t="s">
        <v>48</v>
      </c>
      <c r="K4" s="17" t="s">
        <v>49</v>
      </c>
    </row>
    <row r="5" spans="1:11" x14ac:dyDescent="0.25">
      <c r="A5" t="s">
        <v>3</v>
      </c>
      <c r="B5" s="9">
        <f>Assumptions!B6</f>
        <v>0.001604859979633444</v>
      </c>
      <c r="C5" s="5">
        <v>0.018304241871870186</v>
      </c>
      <c r="D5" s="5">
        <v>0.019141211637886412</v>
      </c>
      <c r="E5" s="5">
        <v>0.019978181403902638</v>
      </c>
      <c r="F5" s="5">
        <v>0.020815151169918868</v>
      </c>
      <c r="G5" s="5">
        <v>0.021652120935935094</v>
      </c>
      <c r="H5" s="5">
        <v>0.02248909070195132</v>
      </c>
      <c r="I5" s="5">
        <v>0.02332606046796755</v>
      </c>
      <c r="J5" s="5">
        <v>0.024163030233983775</v>
      </c>
      <c r="K5" s="5">
        <v>0.025</v>
      </c>
    </row>
    <row r="6" spans="1:11" x14ac:dyDescent="0.25">
      <c r="A6" t="s">
        <v>50</v>
      </c>
      <c r="B6" s="18">
        <f>Assumptions!B29*(1+B5)</f>
        <v>3934303890</v>
      </c>
      <c r="C6" s="18">
        <f>B6*(1+C5)</f>
        <v>4006318339.9999995</v>
      </c>
      <c r="D6" s="18">
        <f>C6*(1+D5)</f>
        <v>4083004127.2346854</v>
      </c>
      <c r="E6" s="18">
        <f>D6*(1+E5)</f>
        <v>4164575124.361463</v>
      </c>
      <c r="F6" s="18">
        <f>E6*(1+F5)</f>
        <v>4251261385.1335306</v>
      </c>
      <c r="G6" s="18">
        <f>F6*(1+G5)</f>
        <v>4343310210.774713</v>
      </c>
      <c r="H6" s="18">
        <f>G6*(1+H5)</f>
        <v>4440987308.051537</v>
      </c>
      <c r="I6" s="18">
        <f>H6*(1+I5)</f>
        <v>4544578046.536623</v>
      </c>
      <c r="J6" s="18">
        <f>I6*(1+J5)</f>
        <v>4654388823.275786</v>
      </c>
      <c r="K6" s="18">
        <f>J6*(1+K5)</f>
        <v>4770748543.85768</v>
      </c>
    </row>
    <row r="7" spans="1:11" x14ac:dyDescent="0.25">
      <c r="A7" t="s">
        <v>4</v>
      </c>
      <c r="B7" s="9">
        <f>Assumptions!B7</f>
        <v>0.28536320778199264</v>
      </c>
      <c r="C7" s="9">
        <f>Assumptions!B7</f>
        <v>0.28536320778199264</v>
      </c>
      <c r="D7" s="9">
        <f>Assumptions!B7</f>
        <v>0.28536320778199264</v>
      </c>
      <c r="E7" s="9">
        <f>Assumptions!B7</f>
        <v>0.28536320778199264</v>
      </c>
      <c r="F7" s="9">
        <f>Assumptions!B7</f>
        <v>0.28536320778199264</v>
      </c>
      <c r="G7" s="9">
        <f>Assumptions!B7</f>
        <v>0.28536320778199264</v>
      </c>
      <c r="H7" s="9">
        <f>Assumptions!B7</f>
        <v>0.28536320778199264</v>
      </c>
      <c r="I7" s="9">
        <f>Assumptions!B7</f>
        <v>0.28536320778199264</v>
      </c>
      <c r="J7" s="9">
        <f>Assumptions!B7</f>
        <v>0.28536320778199264</v>
      </c>
      <c r="K7" s="9">
        <f>Assumptions!B7</f>
        <v>0.28536320778199264</v>
      </c>
    </row>
    <row r="8" spans="1:11" x14ac:dyDescent="0.25">
      <c r="A8" t="s">
        <v>51</v>
      </c>
      <c r="B8" s="18">
        <f>B6*B7</f>
        <v>1122705578.4395719</v>
      </c>
      <c r="C8" s="18">
        <f>C6*C7</f>
        <v>1143255852.8982277</v>
      </c>
      <c r="D8" s="18">
        <f>D6*D7</f>
        <v>1165139155.134805</v>
      </c>
      <c r="E8" s="18">
        <f>E6*E7</f>
        <v>1188416516.536878</v>
      </c>
      <c r="F8" s="18">
        <f>F6*F7</f>
        <v>1213153585.9814215</v>
      </c>
      <c r="G8" s="18">
        <f>G6*G7</f>
        <v>1239420934.1389546</v>
      </c>
      <c r="H8" s="18">
        <f>H6*H7</f>
        <v>1267294383.9447029</v>
      </c>
      <c r="I8" s="18">
        <f>I6*I7</f>
        <v>1296855369.3753126</v>
      </c>
      <c r="J8" s="18">
        <f>J6*J7</f>
        <v>1328191324.8746326</v>
      </c>
      <c r="K8" s="18">
        <f>K6*K7</f>
        <v>1361396107.996498</v>
      </c>
    </row>
    <row r="9" spans="1:11" x14ac:dyDescent="0.25">
      <c r="A9" t="s">
        <v>52</v>
      </c>
      <c r="B9" s="18">
        <f>B8*(1-Assumptions!B8)</f>
        <v>894117839.2603115</v>
      </c>
      <c r="C9" s="18">
        <f>C8*(1-Assumptions!B8)</f>
        <v>910483988.4520861</v>
      </c>
      <c r="D9" s="18">
        <f>D8*(1-Assumptions!B8)</f>
        <v>927911755.1679544</v>
      </c>
      <c r="E9" s="18">
        <f>E8*(1-Assumptions!B8)</f>
        <v>946449744.5395136</v>
      </c>
      <c r="F9" s="18">
        <f>F8*(1-Assumptions!B8)</f>
        <v>966150239.0468346</v>
      </c>
      <c r="G9" s="18">
        <f>G8*(1-Assumptions!B8)</f>
        <v>987069440.8649594</v>
      </c>
      <c r="H9" s="18">
        <f>H8*(1-Assumptions!B8)</f>
        <v>1009267735.0496957</v>
      </c>
      <c r="I9" s="18">
        <f>I8*(1-Assumptions!B8)</f>
        <v>1032809975.2658335</v>
      </c>
      <c r="J9" s="18">
        <f>J8*(1-Assumptions!B8)</f>
        <v>1057765793.924142</v>
      </c>
      <c r="K9" s="18">
        <f>K8*(1-Assumptions!B8)</f>
        <v>1084209938.7722454</v>
      </c>
    </row>
    <row r="10" spans="1:11" x14ac:dyDescent="0.25">
      <c r="A10" t="s">
        <v>53</v>
      </c>
      <c r="B10" s="18">
        <f>B6*Assumptions!B9</f>
        <v>83656301.00095437</v>
      </c>
      <c r="C10" s="18">
        <f>C6*Assumptions!B9</f>
        <v>85187566.16858181</v>
      </c>
      <c r="D10" s="18">
        <f>D6*Assumptions!B9</f>
        <v>86818159.4015311</v>
      </c>
      <c r="E10" s="18">
        <f>E6*Assumptions!B9</f>
        <v>88552628.33920781</v>
      </c>
      <c r="F10" s="18">
        <f>F6*Assumptions!B9</f>
        <v>90395864.68458207</v>
      </c>
      <c r="G10" s="18">
        <f>G6*Assumptions!B9</f>
        <v>92353126.87884106</v>
      </c>
      <c r="H10" s="18">
        <f>H6*Assumptions!B9</f>
        <v>94430064.72582814</v>
      </c>
      <c r="I10" s="18">
        <f>I6*Assumptions!B9</f>
        <v>96632746.1256169</v>
      </c>
      <c r="J10" s="18">
        <f>J6*Assumptions!B9</f>
        <v>98967686.09184305</v>
      </c>
      <c r="K10" s="18">
        <f>K6*Assumptions!B9</f>
        <v>101441878.24413912</v>
      </c>
    </row>
    <row r="11" spans="1:11" x14ac:dyDescent="0.25">
      <c r="A11" t="s">
        <v>54</v>
      </c>
      <c r="B11" s="18">
        <f>-B6*B19</f>
        <v>-164362770.24420938</v>
      </c>
      <c r="C11" s="18">
        <f>-C6*C19</f>
        <v>-176024571.88821656</v>
      </c>
      <c r="D11" s="18">
        <f>-D6*D19</f>
        <v>-188212795.20586425</v>
      </c>
      <c r="E11" s="18">
        <f>-E6*E19</f>
        <v>-200968029.8833516</v>
      </c>
      <c r="F11" s="18">
        <f>-F6*F19</f>
        <v>-214333529.17858577</v>
      </c>
      <c r="G11" s="18">
        <f>-G6*G19</f>
        <v>-228355440.73541194</v>
      </c>
      <c r="H11" s="18">
        <f>-H6*H19</f>
        <v>-243083056.2366156</v>
      </c>
      <c r="I11" s="18">
        <f>-I6*I19</f>
        <v>-258569081.70848262</v>
      </c>
      <c r="J11" s="18">
        <f>-J6*J19</f>
        <v>-274869930.4616151</v>
      </c>
      <c r="K11" s="18">
        <f>-K6*K19</f>
        <v>-292046040.84274834</v>
      </c>
    </row>
    <row r="12" spans="1:11" x14ac:dyDescent="0.25">
      <c r="A12" t="s">
        <v>55</v>
      </c>
      <c r="B12" s="18">
        <f>-(B6-Assumptions!B29)*Assumptions!B11</f>
        <v>-3151945</v>
      </c>
      <c r="C12" s="18">
        <f>-(C6-B6)*Assumptions!B11</f>
        <v>-36007224.99999976</v>
      </c>
      <c r="D12" s="18">
        <f>-(D6-C6)*Assumptions!B11</f>
        <v>-38342893.61734295</v>
      </c>
      <c r="E12" s="18">
        <f>-(E6-D6)*Assumptions!B11</f>
        <v>-40785498.563388824</v>
      </c>
      <c r="F12" s="18">
        <f>-(F6-E6)*Assumptions!B11</f>
        <v>-43343130.38603377</v>
      </c>
      <c r="G12" s="18">
        <f>-(G6-F6)*Assumptions!B11</f>
        <v>-46024412.82059097</v>
      </c>
      <c r="H12" s="18">
        <f>-(H6-G6)*Assumptions!B11</f>
        <v>-48838548.638412</v>
      </c>
      <c r="I12" s="18">
        <f>-(I6-H6)*Assumptions!B11</f>
        <v>-51795369.24254322</v>
      </c>
      <c r="J12" s="18">
        <f>-(J6-I6)*Assumptions!B11</f>
        <v>-54905388.3695817</v>
      </c>
      <c r="K12" s="18">
        <f>-(K6-J6)*Assumptions!B11</f>
        <v>-58179860.29094696</v>
      </c>
    </row>
    <row r="13" spans="1:11" x14ac:dyDescent="0.25">
      <c r="A13" s="19" t="s">
        <v>56</v>
      </c>
      <c r="B13" s="20">
        <f>B9+B10+B11+B12</f>
        <v>810259425.0170565</v>
      </c>
      <c r="C13" s="20">
        <f>C9+C10+C11+C12</f>
        <v>783639757.7324517</v>
      </c>
      <c r="D13" s="20">
        <f>D9+D10+D11+D12</f>
        <v>788174225.7462783</v>
      </c>
      <c r="E13" s="20">
        <f>E9+E10+E11+E12</f>
        <v>793248844.431981</v>
      </c>
      <c r="F13" s="20">
        <f>F9+F10+F11+F12</f>
        <v>798869444.1667972</v>
      </c>
      <c r="G13" s="20">
        <f>G9+G10+G11+G12</f>
        <v>805042714.1877975</v>
      </c>
      <c r="H13" s="20">
        <f>H9+H10+H11+H12</f>
        <v>811776194.9004962</v>
      </c>
      <c r="I13" s="20">
        <f>I9+I10+I11+I12</f>
        <v>819078270.4404246</v>
      </c>
      <c r="J13" s="20">
        <f>J9+J10+J11+J12</f>
        <v>826958161.1847882</v>
      </c>
      <c r="K13" s="20">
        <f>K9+K10+K11+K12</f>
        <v>835425915.8826892</v>
      </c>
    </row>
    <row r="14" spans="1:11" x14ac:dyDescent="0.25">
      <c r="A14" t="s">
        <v>57</v>
      </c>
      <c r="B14" s="21">
        <f>1/(1+Assumptions!$B$26)^(1-0.5*Assumptions!$B$32)</f>
        <v>0.9680292618512517</v>
      </c>
      <c r="C14" s="21">
        <f>1/(1+Assumptions!$B$26)^(2-0.5*Assumptions!$B$32)</f>
        <v>0.9071214916573143</v>
      </c>
      <c r="D14" s="21">
        <f>1/(1+Assumptions!$B$26)^(3-0.5*Assumptions!$B$32)</f>
        <v>0.8500459986642775</v>
      </c>
      <c r="E14" s="21">
        <f>1/(1+Assumptions!$B$26)^(4-0.5*Assumptions!$B$32)</f>
        <v>0.7965616584885404</v>
      </c>
      <c r="F14" s="21">
        <f>1/(1+Assumptions!$B$26)^(5-0.5*Assumptions!$B$32)</f>
        <v>0.7464425181355531</v>
      </c>
      <c r="G14" s="21">
        <f>1/(1+Assumptions!$B$26)^(6-0.5*Assumptions!$B$32)</f>
        <v>0.6994768414259058</v>
      </c>
      <c r="H14" s="21">
        <f>1/(1+Assumptions!$B$26)^(7-0.5*Assumptions!$B$32)</f>
        <v>0.6554662144825885</v>
      </c>
      <c r="I14" s="21">
        <f>1/(1+Assumptions!$B$26)^(8-0.5*Assumptions!$B$32)</f>
        <v>0.6142247075004056</v>
      </c>
      <c r="J14" s="21">
        <f>1/(1+Assumptions!$B$26)^(9-0.5*Assumptions!$B$32)</f>
        <v>0.5755780892563159</v>
      </c>
      <c r="K14" s="21">
        <f>1/(1+Assumptions!$B$26)^(10-0.5*Assumptions!$B$32)</f>
        <v>0.5393630910422679</v>
      </c>
    </row>
    <row r="15" spans="1:11" x14ac:dyDescent="0.25">
      <c r="A15" s="19" t="s">
        <v>58</v>
      </c>
      <c r="B15" s="20">
        <f>B13*B14</f>
        <v>784354833.1072809</v>
      </c>
      <c r="C15" s="20">
        <f>C13*C14</f>
        <v>710856465.9562379</v>
      </c>
      <c r="D15" s="20">
        <f>D13*D14</f>
        <v>669984346.8459389</v>
      </c>
      <c r="E15" s="20">
        <f>E13*E14</f>
        <v>631871615.114857</v>
      </c>
      <c r="F15" s="20">
        <f>F13*F14</f>
        <v>596310119.5654137</v>
      </c>
      <c r="G15" s="20">
        <f>G13*G14</f>
        <v>563108734.9330189</v>
      </c>
      <c r="H15" s="20">
        <f>H13*H14</f>
        <v>532091869.47850823</v>
      </c>
      <c r="I15" s="20">
        <f>I13*I14</f>
        <v>503098111.0812079</v>
      </c>
      <c r="J15" s="20">
        <f>J13*J14</f>
        <v>475978998.3096569</v>
      </c>
      <c r="K15" s="20">
        <f>K13*K14</f>
        <v>450597904.32730496</v>
      </c>
    </row>
    <row r="17" spans="1:2" x14ac:dyDescent="0.25">
      <c r="A17" s="22" t="s">
        <v>59</v>
      </c>
      <c r="B17" s="23">
        <f>SUM(B15:K15)</f>
        <v>5918252998.719425</v>
      </c>
    </row>
    <row r="19" spans="1:11" x14ac:dyDescent="0.25">
      <c r="A19" t="s">
        <v>7</v>
      </c>
      <c r="B19" s="9">
        <f>Assumptions!$B$10+($B$20-Assumptions!$B$10)*0/9</f>
        <v>0.04177683647213367</v>
      </c>
      <c r="C19" s="9">
        <f>Assumptions!$B$10+($B$20-Assumptions!$B$10)*1/9</f>
        <v>0.04393674115477718</v>
      </c>
      <c r="D19" s="9">
        <f>Assumptions!$B$10+($B$20-Assumptions!$B$10)*2/9</f>
        <v>0.04609664583742069</v>
      </c>
      <c r="E19" s="9">
        <f>Assumptions!$B$10+($B$20-Assumptions!$B$10)*3/9</f>
        <v>0.0482565505200642</v>
      </c>
      <c r="F19" s="9">
        <f>Assumptions!$B$10+($B$20-Assumptions!$B$10)*4/9</f>
        <v>0.05041645520270771</v>
      </c>
      <c r="G19" s="9">
        <f>Assumptions!$B$10+($B$20-Assumptions!$B$10)*5/9</f>
        <v>0.05257635988535122</v>
      </c>
      <c r="H19" s="9">
        <f>Assumptions!$B$10+($B$20-Assumptions!$B$10)*6/9</f>
        <v>0.05473626456799473</v>
      </c>
      <c r="I19" s="9">
        <f>Assumptions!$B$10+($B$20-Assumptions!$B$10)*7/9</f>
        <v>0.05689616925063824</v>
      </c>
      <c r="J19" s="9">
        <f>Assumptions!$B$10+($B$20-Assumptions!$B$10)*8/9</f>
        <v>0.059056073933281744</v>
      </c>
      <c r="K19" s="9">
        <f>Assumptions!$B$10+($B$20-Assumptions!$B$10)*9/9</f>
        <v>0.06121597861592526</v>
      </c>
    </row>
    <row r="20" spans="1:2" x14ac:dyDescent="0.25">
      <c r="A20" t="s">
        <v>60</v>
      </c>
      <c r="B20" s="9">
        <f>IF(Assumptions!$B$33=0,Assumptions!$B$10,MIN(Assumptions!$B$15,Assumptions!$B$9)+MAX((K7+MAX(Assumptions!$B$9-Assumptions!$B$15,0))*(1-Assumptions!$B$8),0)*IF(Assumptions!$B$12&lt;=0,0,MIN(Assumptions!$B$12/MAX(Assumptions!$B$14,Assumptions!$B$26),0.9)))</f>
        <v>0.06121597861592526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9"/>
  <sheetViews>
    <sheetView workbookViewId="0" showGridLines="0"/>
  </sheetViews>
  <sheetFormatPr defaultRowHeight="15" outlineLevelRow="0" outlineLevelCol="0" x14ac:dyDescent="55"/>
  <cols>
    <col min="1" max="1" width="46" customWidth="1"/>
    <col min="2" max="2" width="18" customWidth="1"/>
    <col min="3" max="3" width="46" customWidth="1"/>
  </cols>
  <sheetData>
    <row r="1" spans="1:1" x14ac:dyDescent="0.25">
      <c r="A1" s="14" t="s">
        <v>61</v>
      </c>
    </row>
    <row r="3" spans="1:3" x14ac:dyDescent="0.25">
      <c r="A3" s="3" t="s">
        <v>62</v>
      </c>
      <c r="B3" s="4"/>
      <c r="C3" s="4"/>
    </row>
    <row r="4" spans="1:2" x14ac:dyDescent="0.25">
      <c r="A4" t="s">
        <v>63</v>
      </c>
      <c r="B4" s="18">
        <f>Forecast!K13</f>
        <v>835425915.8826892</v>
      </c>
    </row>
    <row r="5" spans="1:2" x14ac:dyDescent="0.25">
      <c r="A5" t="s">
        <v>64</v>
      </c>
      <c r="B5" s="18">
        <f>IF(Assumptions!$B$33=0,B4,(Forecast!K8+MAX(Forecast!K10-MIN(Assumptions!B15*Forecast!K6,Forecast!K10),0))*(1-Assumptions!B8))</f>
        <v>1084209938.7722454</v>
      </c>
    </row>
    <row r="6" spans="1:2" x14ac:dyDescent="0.25">
      <c r="A6" t="s">
        <v>65</v>
      </c>
      <c r="B6" s="9">
        <f>IF(OR(Assumptions!$B$33=0,Assumptions!B12&lt;=0),0,MIN(Assumptions!B12/MAX(Assumptions!B14,Assumptions!B26),0.9))</f>
        <v>0.17580005106248017</v>
      </c>
    </row>
    <row r="7" spans="1:2" x14ac:dyDescent="0.25">
      <c r="A7" t="s">
        <v>66</v>
      </c>
      <c r="B7" s="18">
        <f>-MAX(B5,0)*B6</f>
        <v>-190604162.59860924</v>
      </c>
    </row>
    <row r="8" spans="1:2" x14ac:dyDescent="0.25">
      <c r="A8" t="s">
        <v>67</v>
      </c>
      <c r="B8" s="18">
        <f>IF(OR(Assumptions!$B$33=0,Assumptions!B12&lt;=0),B5,MAX(B5+B7,0))</f>
        <v>893605776.1736362</v>
      </c>
    </row>
    <row r="9" spans="1:2" x14ac:dyDescent="0.25">
      <c r="A9" t="s">
        <v>68</v>
      </c>
      <c r="B9" s="18">
        <f>B8*(1+Assumptions!B12)/(Assumptions!B26-Assumptions!B12)</f>
        <v>21733717885.78963</v>
      </c>
    </row>
    <row r="10" spans="1:2" x14ac:dyDescent="0.25">
      <c r="A10" t="s">
        <v>69</v>
      </c>
      <c r="B10" s="18">
        <f>B9/(1+Assumptions!B26)^(10-0.5*Assumptions!B32)</f>
        <v>11722365258.720118</v>
      </c>
    </row>
    <row r="11" spans="1:2" x14ac:dyDescent="0.25">
      <c r="A11" t="s">
        <v>70</v>
      </c>
      <c r="B11" s="18">
        <f>Forecast!B17+B10</f>
        <v>17640618257.439545</v>
      </c>
    </row>
    <row r="12" spans="1:2" x14ac:dyDescent="0.25">
      <c r="A12" t="s">
        <v>71</v>
      </c>
      <c r="B12" s="18">
        <f>-Assumptions!B30</f>
        <v>-2194000000</v>
      </c>
    </row>
    <row r="13" spans="1:2" x14ac:dyDescent="0.25">
      <c r="A13" t="s">
        <v>72</v>
      </c>
      <c r="B13" s="18">
        <f>B11+B12</f>
        <v>15446618257.439545</v>
      </c>
    </row>
    <row r="14" spans="1:2" x14ac:dyDescent="0.25">
      <c r="A14" s="19" t="s">
        <v>73</v>
      </c>
      <c r="B14" s="24">
        <f>B13/Assumptions!B31</f>
        <v>33.09519202079036</v>
      </c>
    </row>
    <row r="16" spans="1:3" x14ac:dyDescent="0.25">
      <c r="A16" s="3" t="s">
        <v>74</v>
      </c>
      <c r="B16" s="4"/>
      <c r="C16" s="4"/>
    </row>
    <row r="17" spans="1:2" x14ac:dyDescent="0.25">
      <c r="A17" t="s">
        <v>75</v>
      </c>
      <c r="B17" s="18">
        <f>Forecast!K8+Forecast!K10</f>
        <v>1462837986.2406373</v>
      </c>
    </row>
    <row r="18" spans="1:2" x14ac:dyDescent="0.25">
      <c r="A18" t="s">
        <v>68</v>
      </c>
      <c r="B18" s="18">
        <f>B17*Assumptions!B13</f>
        <v>18767515146.659107</v>
      </c>
    </row>
    <row r="19" spans="1:2" x14ac:dyDescent="0.25">
      <c r="A19" t="s">
        <v>69</v>
      </c>
      <c r="B19" s="18">
        <f>B18/(1+Assumptions!B26)^(10-0.5*Assumptions!B32)</f>
        <v>10122504980.684637</v>
      </c>
    </row>
    <row r="20" spans="1:2" x14ac:dyDescent="0.25">
      <c r="A20" t="s">
        <v>70</v>
      </c>
      <c r="B20" s="18">
        <f>Forecast!B17+B19</f>
        <v>16040757979.404062</v>
      </c>
    </row>
    <row r="21" spans="1:2" x14ac:dyDescent="0.25">
      <c r="A21" t="s">
        <v>71</v>
      </c>
      <c r="B21" s="18">
        <f>-Assumptions!B30</f>
        <v>-2194000000</v>
      </c>
    </row>
    <row r="22" spans="1:2" x14ac:dyDescent="0.25">
      <c r="A22" t="s">
        <v>72</v>
      </c>
      <c r="B22" s="18">
        <f>B20+B21</f>
        <v>13846757979.404062</v>
      </c>
    </row>
    <row r="23" spans="1:2" x14ac:dyDescent="0.25">
      <c r="A23" s="19" t="s">
        <v>73</v>
      </c>
      <c r="B23" s="25">
        <f>B22/Assumptions!B31</f>
        <v>29.66740723155222</v>
      </c>
    </row>
    <row r="25" spans="1:3" x14ac:dyDescent="0.25">
      <c r="A25" s="3" t="s">
        <v>76</v>
      </c>
      <c r="B25" s="4"/>
      <c r="C25" s="4"/>
    </row>
    <row r="26" spans="1:2" x14ac:dyDescent="0.25">
      <c r="A26" t="s">
        <v>77</v>
      </c>
      <c r="B26" s="26">
        <v>30</v>
      </c>
    </row>
    <row r="27" spans="1:3" x14ac:dyDescent="0.25">
      <c r="A27" t="s">
        <v>78</v>
      </c>
      <c r="B27" s="27">
        <v>1</v>
      </c>
      <c r="C27" s="6" t="s">
        <v>79</v>
      </c>
    </row>
    <row r="28" spans="1:2" x14ac:dyDescent="0.25">
      <c r="A28" t="s">
        <v>80</v>
      </c>
      <c r="B28" s="28">
        <f>B14*B27</f>
        <v>33.09519202079036</v>
      </c>
    </row>
    <row r="29" spans="1:2" x14ac:dyDescent="0.25">
      <c r="A29" s="19" t="s">
        <v>81</v>
      </c>
      <c r="B29" s="11">
        <f>B28/B26-1</f>
        <v>0.10317306735967846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14" customWidth="1"/>
    <col min="2" max="6" width="13" customWidth="1"/>
  </cols>
  <sheetData>
    <row r="1" spans="1:1" x14ac:dyDescent="0.25">
      <c r="A1" s="14" t="s">
        <v>82</v>
      </c>
    </row>
    <row r="2" spans="1:1" x14ac:dyDescent="0.25">
      <c r="A2" s="15" t="s">
        <v>83</v>
      </c>
    </row>
    <row r="4" spans="1:6" x14ac:dyDescent="0.25">
      <c r="A4" s="16" t="s">
        <v>29</v>
      </c>
      <c r="B4" s="29">
        <v>0.015</v>
      </c>
      <c r="C4" s="29">
        <v>0.02</v>
      </c>
      <c r="D4" s="29">
        <v>0.025</v>
      </c>
      <c r="E4" s="29">
        <v>0.03</v>
      </c>
      <c r="F4" s="29">
        <v>0.035</v>
      </c>
    </row>
    <row r="5" spans="1:6" x14ac:dyDescent="0.25">
      <c r="A5" s="30">
        <v>0.047144</v>
      </c>
      <c r="B5" s="31">
        <v>52.04838170423681</v>
      </c>
      <c r="C5" s="31">
        <v>57.83613063503101</v>
      </c>
      <c r="D5" s="31">
        <v>66.3404509858362</v>
      </c>
      <c r="E5" s="31">
        <v>79.93818429305952</v>
      </c>
      <c r="F5" s="31">
        <v>104.92060150089344</v>
      </c>
    </row>
    <row r="6" spans="1:6" x14ac:dyDescent="0.25">
      <c r="A6" s="30">
        <v>0.057144</v>
      </c>
      <c r="B6" s="31">
        <v>38.578859779845324</v>
      </c>
      <c r="C6" s="31">
        <v>41.13115575849024</v>
      </c>
      <c r="D6" s="31">
        <v>44.54438604354757</v>
      </c>
      <c r="E6" s="31">
        <v>49.29431008816302</v>
      </c>
      <c r="F6" s="31">
        <v>56.2863833833668</v>
      </c>
    </row>
    <row r="7" spans="1:6" x14ac:dyDescent="0.25">
      <c r="A7" s="30">
        <v>0.067144</v>
      </c>
      <c r="B7" s="31">
        <v>30.29015288597852</v>
      </c>
      <c r="C7" s="31">
        <v>31.52236966141466</v>
      </c>
      <c r="D7" s="32">
        <v>33.095196600506874</v>
      </c>
      <c r="E7" s="31">
        <v>35.146183575504836</v>
      </c>
      <c r="F7" s="31">
        <v>37.89846400286529</v>
      </c>
    </row>
    <row r="8" spans="1:6" x14ac:dyDescent="0.25">
      <c r="A8" s="30">
        <v>0.077144</v>
      </c>
      <c r="B8" s="31">
        <v>24.679953023734246</v>
      </c>
      <c r="C8" s="31">
        <v>25.283387839118838</v>
      </c>
      <c r="D8" s="31">
        <v>26.03941292156853</v>
      </c>
      <c r="E8" s="31">
        <v>26.99657854271868</v>
      </c>
      <c r="F8" s="31">
        <v>28.226475156263938</v>
      </c>
    </row>
    <row r="9" spans="1:6" x14ac:dyDescent="0.25">
      <c r="A9" s="30">
        <v>0.087144</v>
      </c>
      <c r="B9" s="31">
        <v>20.633467559872834</v>
      </c>
      <c r="C9" s="31">
        <v>20.907857949833378</v>
      </c>
      <c r="D9" s="31">
        <v>21.25568401264777</v>
      </c>
      <c r="E9" s="31">
        <v>21.69622222691058</v>
      </c>
      <c r="F9" s="31">
        <v>22.256142626982932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8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0" customWidth="1"/>
    <col min="2" max="5" width="17" customWidth="1"/>
    <col min="6" max="6" width="44" customWidth="1"/>
  </cols>
  <sheetData>
    <row r="1" spans="1:1" x14ac:dyDescent="0.25">
      <c r="A1" s="14" t="s">
        <v>84</v>
      </c>
    </row>
    <row r="4" spans="1:6" x14ac:dyDescent="0.25">
      <c r="A4" s="16" t="s">
        <v>85</v>
      </c>
      <c r="B4" s="17" t="s">
        <v>86</v>
      </c>
      <c r="C4" s="17" t="s">
        <v>87</v>
      </c>
      <c r="D4" s="17" t="s">
        <v>88</v>
      </c>
      <c r="E4" s="17" t="s">
        <v>89</v>
      </c>
      <c r="F4" s="33" t="s">
        <v>90</v>
      </c>
    </row>
    <row r="5" spans="1:6" x14ac:dyDescent="0.25">
      <c r="A5" t="s">
        <v>50</v>
      </c>
      <c r="B5" s="18">
        <v>3928000000</v>
      </c>
      <c r="C5" s="18">
        <v>3975000000</v>
      </c>
      <c r="D5" s="18">
        <v>4178000000</v>
      </c>
      <c r="E5" s="18">
        <v>4228000000</v>
      </c>
      <c r="F5" s="6" t="s">
        <v>91</v>
      </c>
    </row>
    <row r="6" spans="1:6" x14ac:dyDescent="0.25">
      <c r="A6" t="s">
        <v>51</v>
      </c>
      <c r="B6" s="18">
        <v>1152000000</v>
      </c>
      <c r="C6" s="18">
        <v>1214000000</v>
      </c>
      <c r="D6" s="18">
        <v>1154000000</v>
      </c>
      <c r="E6" s="18">
        <v>1127000000</v>
      </c>
      <c r="F6" s="6" t="s">
        <v>92</v>
      </c>
    </row>
    <row r="7" spans="1:6" x14ac:dyDescent="0.25">
      <c r="A7" t="s">
        <v>93</v>
      </c>
      <c r="B7" s="18">
        <v>92000000</v>
      </c>
      <c r="C7" s="18">
        <v>87000000</v>
      </c>
      <c r="D7" s="18">
        <v>87000000</v>
      </c>
      <c r="E7" s="18">
        <v>80000000</v>
      </c>
      <c r="F7" s="6" t="s">
        <v>94</v>
      </c>
    </row>
    <row r="8" spans="1:6" x14ac:dyDescent="0.25">
      <c r="A8" t="s">
        <v>95</v>
      </c>
      <c r="B8" s="18">
        <v>107000000</v>
      </c>
      <c r="C8" s="18">
        <v>167000000</v>
      </c>
      <c r="D8" s="18">
        <v>228000000</v>
      </c>
      <c r="E8" s="18">
        <v>183000000</v>
      </c>
      <c r="F8" s="6" t="s">
        <v>96</v>
      </c>
    </row>
    <row r="9" spans="1:6" x14ac:dyDescent="0.25">
      <c r="A9" t="s">
        <v>97</v>
      </c>
      <c r="B9" s="18">
        <v>-82000000</v>
      </c>
      <c r="C9" s="18">
        <v>253000000</v>
      </c>
      <c r="D9" s="18">
        <v>263000000</v>
      </c>
      <c r="E9" s="18">
        <v>352000000</v>
      </c>
      <c r="F9" s="6" t="s">
        <v>98</v>
      </c>
    </row>
    <row r="10" spans="1:6" x14ac:dyDescent="0.25">
      <c r="A10" t="s">
        <v>99</v>
      </c>
      <c r="B10" s="18">
        <v>2502000000</v>
      </c>
      <c r="C10" s="18">
        <v>2733000000</v>
      </c>
      <c r="D10" s="18">
        <v>3100000000</v>
      </c>
      <c r="E10" s="18">
        <v>2913000000</v>
      </c>
      <c r="F10" s="6" t="s">
        <v>100</v>
      </c>
    </row>
    <row r="11" spans="1:6" x14ac:dyDescent="0.25">
      <c r="A11" t="s">
        <v>101</v>
      </c>
      <c r="B11" s="18">
        <v>308000000</v>
      </c>
      <c r="C11" s="18">
        <v>444000000</v>
      </c>
      <c r="D11" s="18">
        <v>446000000</v>
      </c>
      <c r="E11" s="18">
        <v>374000000</v>
      </c>
      <c r="F11" s="6" t="s">
        <v>102</v>
      </c>
    </row>
    <row r="12" spans="1:6" x14ac:dyDescent="0.25">
      <c r="A12" t="s">
        <v>34</v>
      </c>
      <c r="B12" s="34">
        <v>466733000</v>
      </c>
      <c r="C12" s="34">
        <v>472950000</v>
      </c>
      <c r="D12" s="34">
        <v>477220000</v>
      </c>
      <c r="E12" s="34">
        <v>480465000</v>
      </c>
      <c r="F12" s="6" t="s">
        <v>103</v>
      </c>
    </row>
    <row r="15" spans="1:1" x14ac:dyDescent="0.25">
      <c r="A15" s="19" t="s">
        <v>104</v>
      </c>
    </row>
    <row r="16" ht="54" customHeight="1" spans="1:6" x14ac:dyDescent="0.25">
      <c r="A16" s="35" t="s">
        <v>105</v>
      </c>
      <c r="B16" s="35"/>
      <c r="C16" s="35"/>
      <c r="D16" s="35"/>
      <c r="E16" s="35"/>
      <c r="F16" s="35"/>
    </row>
    <row r="18" spans="1:1" x14ac:dyDescent="0.25">
      <c r="A18" s="36" t="s">
        <v>106</v>
      </c>
    </row>
  </sheetData>
  <mergeCells count="1">
    <mergeCell ref="A16:F16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Assumptions</vt:lpstr>
      <vt:lpstr>Forecast</vt:lpstr>
      <vt:lpstr>Valuation</vt:lpstr>
      <vt:lpstr>Sensitivity</vt:lpstr>
      <vt:lpstr>Source 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DCF Studio</dc:creator>
  <dc:title/>
  <dc:subject/>
  <dc:description/>
  <cp:keywords/>
  <cp:category/>
  <cp:lastModifiedBy>Unknown</cp:lastModifiedBy>
  <dcterms:created xsi:type="dcterms:W3CDTF">1970-01-01T00:00:00Z</dcterms:created>
  <dcterms:modified xsi:type="dcterms:W3CDTF">1970-01-01T00:00:00Z</dcterms:modified>
</cp:coreProperties>
</file>