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<sst xmlns="http://schemas.openxmlformats.org/spreadsheetml/2006/main" count="112" uniqueCount="100">
  <si>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Brown-Forman Corporation (BF-B)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</si>
  <si>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</si>
  <si>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</si>
  <si>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</si>
  <si>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</si>
  <si>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</si>
  <si>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</si>
  <si>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</si>
  <si>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</si>
  <si>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</si>
  <si>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</si>
  <si>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</si>
  <si>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</si>
  <si>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</si>
  <si>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</si>
  <si>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</si>
  <si>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</si>
  <si>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</si>
  <si>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</si>
  <si>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</si>
  <si>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</si>
  <si>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</si>
  <si>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</si>
  <si>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</si>
  <si>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</si>
  <si>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</si>
  <si>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</si>
  <si>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</si>
  <si>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</si>
  <si>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</si>
  <si>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</si>
  <si>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</si>
  <si>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</si>
  <si>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</si>
  <si>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</si>
  <si>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</si>
  <si>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</si>
  <si>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</si>
  <si>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</si>
  <si>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</si>
  <si>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</si>
  <si>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</si>
  <si>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</si>
  <si>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</si>
  <si>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</si>
  <si>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</si>
  <si>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</si>
  <si>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</si>
  <si>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</si>
  <si>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</si>
  <si>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</si>
  <si>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</si>
  <si>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</si>
  <si>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</si>
  <si>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</si>
  <si>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</si>
  <si>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</si>
  <si>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</si>
  <si>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</si>
  <si>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</si>
  <si>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</si>
  <si>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</si>
  <si>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</si>
  <si>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</si>
  <si>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</si>
  <si>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</si>
  <si>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</si>
  <si>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</si>
  <si>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</si>
  <si>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</si>
  <si>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</si>
  <si>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</si>
  <si>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</si>
  <si>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</si>
  <si>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</si>
  <si>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</si>
  <si>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</si>
  <si>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</si>
  <si>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</si>
  <si>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</si>
  <si>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</si>
  <si>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</si>
  <si>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</si>
  <si>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</si>
  <si>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</si>
  <si>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</si>
  <si>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</si>
  <si>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</si>
  <si>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</si>
  <si>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</si>
  <si>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</si>
  <si>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</si>
  <si>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</si>
  <si>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</si>
  <si>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</si>
  <si>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</si>
  <si>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</si>
  <si>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</si>
  <si>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4.2% of revenue against depreciation of 2.1%.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</si>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</sst>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-0.024234406984345203</v>
      </c>
    </row>
    <row r="7" spans="1:2" x14ac:dyDescent="0.25">
      <c r="A7" t="s">
        <v>5</v>
      </c>
      <c r="B7" s="6">
        <v>0.28536320778199264</v>
      </c>
    </row>
    <row r="8" spans="1:2" x14ac:dyDescent="0.25">
      <c r="A8" t="s">
        <v>6</v>
      </c>
      <c r="B8" s="6">
        <v>0.20360434967907648</v>
      </c>
    </row>
    <row r="9" spans="1:2" x14ac:dyDescent="0.25">
      <c r="A9" t="s">
        <v>7</v>
      </c>
      <c r="B9" s="6">
        <v>0.02126330434555079</v>
      </c>
    </row>
    <row r="10" spans="1:2" x14ac:dyDescent="0.25">
      <c r="A10" t="s">
        <v>8</v>
      </c>
      <c r="B10" s="6">
        <v>0.04177683647213367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11.331944643086818</v>
      </c>
    </row>
    <row r="14" spans="1:3" x14ac:dyDescent="0.25">
      <c r="A14" t="s">
        <v>12</v>
      </c>
      <c r="B14" s="6">
        <v>0.14220701216471707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0.55177</v>
      </c>
      <c r="C19" s="8" t="s">
        <v>19</v>
      </c>
    </row>
    <row r="20" spans="1:2" x14ac:dyDescent="0.25">
      <c r="A20" t="s">
        <v>20</v>
      </c>
      <c r="B20" s="10">
        <f>B17+B19*B18</f>
        <v>0.08032735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11902939136</v>
      </c>
    </row>
    <row r="23" spans="1:2" x14ac:dyDescent="0.25">
      <c r="A23" t="s">
        <v>24</v>
      </c>
      <c r="B23" s="11">
        <v>2502000000</v>
      </c>
    </row>
    <row r="24" spans="1:2" x14ac:dyDescent="0.25">
      <c r="A24" t="s">
        <v>25</v>
      </c>
      <c r="B24" s="10">
        <f>B22/(B22+B23)</f>
        <v>0.8263095750438025</v>
      </c>
    </row>
    <row r="25" spans="1:2" x14ac:dyDescent="0.25">
      <c r="A25" t="s">
        <v>26</v>
      </c>
      <c r="B25" s="10">
        <f>1-B24</f>
        <v>0.17369042495619746</v>
      </c>
    </row>
    <row r="26" spans="1:2" x14ac:dyDescent="0.25">
      <c r="A26" t="s">
        <v>27</v>
      </c>
      <c r="B26" s="12">
        <f>B24*B20+B25*B21*(1-B8)</f>
        <v>0.07328880686379147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3928000000</v>
      </c>
      <c r="C29" s="8" t="s">
        <v>30</v>
      </c>
    </row>
    <row r="30" spans="1:2" x14ac:dyDescent="0.25">
      <c r="A30" t="s">
        <v>31</v>
      </c>
      <c r="B30" s="11">
        <v>2194000000</v>
      </c>
    </row>
    <row r="31" spans="1:2" x14ac:dyDescent="0.25">
      <c r="A31" t="s">
        <v>32</v>
      </c>
      <c r="B31" s="13">
        <v>466733000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-0.024234406984345203</v>
      </c>
      <c r="C5" s="10">
        <f>Assumptions!B6</f>
        <v>-0.024234406984345203</v>
      </c>
      <c r="D5" s="10">
        <f>Assumptions!B6</f>
        <v>-0.024234406984345203</v>
      </c>
      <c r="E5" s="10">
        <f>Assumptions!B6</f>
        <v>-0.024234406984345203</v>
      </c>
      <c r="F5" s="10">
        <f>Assumptions!B6</f>
        <v>-0.024234406984345203</v>
      </c>
    </row>
    <row r="6" spans="1:6" x14ac:dyDescent="0.25">
      <c r="A6" t="s">
        <v>43</v>
      </c>
      <c r="B6" s="18">
        <f>Assumptions!B29*(1+B5)</f>
        <v>3832807249.365492</v>
      </c>
      <c r="C6" s="18">
        <f>B6*(1+C5)</f>
        <v>3739921438.59182</v>
      </c>
      <c r="D6" s="18">
        <f>C6*(1+D5)</f>
        <v>3649286660.359508</v>
      </c>
      <c r="E6" s="18">
        <f>D6*(1+E5)</f>
        <v>3560848362.2298136</v>
      </c>
      <c r="F6" s="18">
        <f>E6*(1+F5)</f>
        <v>3474553313.809997</v>
      </c>
    </row>
    <row r="7" spans="1:6" x14ac:dyDescent="0.25">
      <c r="A7" t="s">
        <v>5</v>
      </c>
      <c r="B7" s="10">
        <f>Assumptions!B7</f>
        <v>0.28536320778199264</v>
      </c>
      <c r="C7" s="10">
        <f>Assumptions!B7</f>
        <v>0.28536320778199264</v>
      </c>
      <c r="D7" s="10">
        <f>Assumptions!B7</f>
        <v>0.28536320778199264</v>
      </c>
      <c r="E7" s="10">
        <f>Assumptions!B7</f>
        <v>0.28536320778199264</v>
      </c>
      <c r="F7" s="10">
        <f>Assumptions!B7</f>
        <v>0.28536320778199264</v>
      </c>
    </row>
    <row r="8" spans="1:6" x14ac:dyDescent="0.25">
      <c r="A8" t="s">
        <v>44</v>
      </c>
      <c r="B8" s="18">
        <f>B6*B7</f>
        <v>1093742171.4890125</v>
      </c>
      <c r="C8" s="18">
        <f>C6*C7</f>
        <v>1067235978.5692064</v>
      </c>
      <c r="D8" s="18">
        <f>D6*D7</f>
        <v>1041372147.5162243</v>
      </c>
      <c r="E8" s="18">
        <f>E6*E7</f>
        <v>1016135111.0711545</v>
      </c>
      <c r="F8" s="18">
        <f>F6*F7</f>
        <v>991509679.2383733</v>
      </c>
    </row>
    <row r="9" spans="1:6" x14ac:dyDescent="0.25">
      <c r="A9" t="s">
        <v>45</v>
      </c>
      <c r="B9" s="18">
        <f>B8*(1-Assumptions!B8)</f>
        <v>871051507.9464111</v>
      </c>
      <c r="C9" s="18">
        <f>C8*(1-Assumptions!B8)</f>
        <v>849942091.1985103</v>
      </c>
      <c r="D9" s="18">
        <f>D8*(1-Assumptions!B8)</f>
        <v>829344248.6472801</v>
      </c>
      <c r="E9" s="18">
        <f>E8*(1-Assumptions!B8)</f>
        <v>809245582.595436</v>
      </c>
      <c r="F9" s="18">
        <f>F8*(1-Assumptions!B8)</f>
        <v>789633995.7965345</v>
      </c>
    </row>
    <row r="10" spans="1:6" x14ac:dyDescent="0.25">
      <c r="A10" t="s">
        <v>46</v>
      </c>
      <c r="B10" s="18">
        <f>B6*Assumptions!B9</f>
        <v>81498147.04109183</v>
      </c>
      <c r="C10" s="18">
        <f>C6*Assumptions!B9</f>
        <v>79523087.777228</v>
      </c>
      <c r="D10" s="18">
        <f>D6*Assumptions!B9</f>
        <v>77595892.90338285</v>
      </c>
      <c r="E10" s="18">
        <f>E6*Assumptions!B9</f>
        <v>75715402.45444861</v>
      </c>
      <c r="F10" s="18">
        <f>F6*Assumptions!B9</f>
        <v>73880484.57638401</v>
      </c>
    </row>
    <row r="11" spans="1:6" x14ac:dyDescent="0.25">
      <c r="A11" t="s">
        <v>47</v>
      </c>
      <c r="B11" s="18">
        <f>-B6*Assumptions!B10</f>
        <v>-160122561.6859506</v>
      </c>
      <c r="C11" s="18">
        <f>-C6*Assumptions!B10</f>
        <v>-156242086.35867736</v>
      </c>
      <c r="D11" s="18">
        <f>-D6*Assumptions!B10</f>
        <v>-152455652.04977798</v>
      </c>
      <c r="E11" s="18">
        <f>-E6*Assumptions!B10</f>
        <v>-148760979.73093992</v>
      </c>
      <c r="F11" s="18">
        <f>-F6*Assumptions!B10</f>
        <v>-145155845.6047504</v>
      </c>
    </row>
    <row r="12" spans="1:6" x14ac:dyDescent="0.25">
      <c r="A12" t="s">
        <v>48</v>
      </c>
      <c r="B12" s="18">
        <f>-(B6-Assumptions!B29)*Assumptions!B11</f>
        <v>-95192750.63450813</v>
      </c>
      <c r="C12" s="18">
        <f>-(C6-B6)*Assumptions!B11</f>
        <v>-92885810.7736721</v>
      </c>
      <c r="D12" s="18">
        <f>-(D6-C6)*Assumptions!B11</f>
        <v>-90634778.23231173</v>
      </c>
      <c r="E12" s="18">
        <f>-(E6-D6)*Assumptions!B11</f>
        <v>-88438298.12969446</v>
      </c>
      <c r="F12" s="18">
        <f>-(F6-E6)*Assumptions!B11</f>
        <v>-86295048.4198165</v>
      </c>
    </row>
    <row r="13" spans="1:6" x14ac:dyDescent="0.25">
      <c r="A13" s="19" t="s">
        <v>49</v>
      </c>
      <c r="B13" s="20">
        <f>B9+B10+B11+B12</f>
        <v>697234342.6670442</v>
      </c>
      <c r="C13" s="20">
        <f>C9+C10+C11+C12</f>
        <v>680337281.8433888</v>
      </c>
      <c r="D13" s="20">
        <f>D9+D10+D11+D12</f>
        <v>663849711.2685733</v>
      </c>
      <c r="E13" s="20">
        <f>E9+E10+E11+E12</f>
        <v>647761707.1892502</v>
      </c>
      <c r="F13" s="20">
        <f>F9+F10+F11+F12</f>
        <v>632063586.3483517</v>
      </c>
    </row>
    <row r="14" spans="1:6" x14ac:dyDescent="0.25">
      <c r="A14" t="s">
        <v>50</v>
      </c>
      <c r="B14" s="21">
        <f>1/(1+Assumptions!$B$26)^(1-0.5*Assumptions!$B$32)</f>
        <v>0.9652541997811266</v>
      </c>
      <c r="C14" s="21">
        <f>1/(1+Assumptions!$B$26)^(2-0.5*Assumptions!$B$32)</f>
        <v>0.8993424636577101</v>
      </c>
      <c r="D14" s="21">
        <f>1/(1+Assumptions!$B$26)^(3-0.5*Assumptions!$B$32)</f>
        <v>0.8379314662617585</v>
      </c>
      <c r="E14" s="21">
        <f>1/(1+Assumptions!$B$26)^(4-0.5*Assumptions!$B$32)</f>
        <v>0.7807138776656396</v>
      </c>
      <c r="F14" s="21">
        <f>1/(1+Assumptions!$B$26)^(5-0.5*Assumptions!$B$32)</f>
        <v>0.7274033537598591</v>
      </c>
    </row>
    <row r="15" spans="1:6" x14ac:dyDescent="0.25">
      <c r="A15" s="19" t="s">
        <v>51</v>
      </c>
      <c r="B15" s="20">
        <f>B13*B14</f>
        <v>673008377.4909976</v>
      </c>
      <c r="C15" s="20">
        <f>C13*C14</f>
        <v>611856207.1712232</v>
      </c>
      <c r="D15" s="20">
        <f>D13*D14</f>
        <v>556260561.9407207</v>
      </c>
      <c r="E15" s="20">
        <f>E13*E14</f>
        <v>505716554.22303414</v>
      </c>
      <c r="F15" s="20">
        <f>F13*F14</f>
        <v>459765172.4992753</v>
      </c>
    </row>
    <row r="17" spans="1:2" x14ac:dyDescent="0.25">
      <c r="A17" s="22" t="s">
        <v>52</v>
      </c>
      <c r="B17" s="23">
        <f>SUM(B15:F15)</f>
        <v>2806606873.3252506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632063586.3483517</v>
      </c>
    </row>
    <row r="5" spans="1:2" x14ac:dyDescent="0.25">
      <c r="A5" t="s">
        <v>56</v>
      </c>
      <c r="B5" s="18">
        <f>IF(Assumptions!$B$33=0,B4,B4-Forecast!F11-Forecast!F10-Forecast!F12)</f>
        <v>789633995.7965345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0.17580005106248017</v>
      </c>
    </row>
    <row r="7" spans="1:2" x14ac:dyDescent="0.25">
      <c r="A7" t="s">
        <v>58</v>
      </c>
      <c r="B7" s="18">
        <f>-MAX(Forecast!F9,0)*B6</f>
        <v>-138817696.78170103</v>
      </c>
    </row>
    <row r="8" spans="1:2" x14ac:dyDescent="0.25">
      <c r="A8" t="s">
        <v>59</v>
      </c>
      <c r="B8" s="18">
        <f>IF(OR(Assumptions!$B$33=0,Assumptions!B12&lt;=0),B5,MAX(B5+B7,0))</f>
        <v>650816299.0148335</v>
      </c>
    </row>
    <row r="9" spans="1:2" x14ac:dyDescent="0.25">
      <c r="A9" t="s">
        <v>60</v>
      </c>
      <c r="B9" s="18">
        <f>B8*(1+Assumptions!B12)/(Assumptions!B26-Assumptions!B12)</f>
        <v>13814520378.85011</v>
      </c>
    </row>
    <row r="10" spans="1:2" x14ac:dyDescent="0.25">
      <c r="A10" t="s">
        <v>61</v>
      </c>
      <c r="B10" s="18">
        <f>B9/(1+Assumptions!B26)^(5-0.5*Assumptions!B32)</f>
        <v>10048728454.159489</v>
      </c>
    </row>
    <row r="11" spans="1:2" x14ac:dyDescent="0.25">
      <c r="A11" t="s">
        <v>62</v>
      </c>
      <c r="B11" s="18">
        <f>Forecast!B17+B10</f>
        <v>12855335327.48474</v>
      </c>
    </row>
    <row r="12" spans="1:2" x14ac:dyDescent="0.25">
      <c r="A12" t="s">
        <v>63</v>
      </c>
      <c r="B12" s="18">
        <f>-Assumptions!B30</f>
        <v>-2194000000</v>
      </c>
    </row>
    <row r="13" spans="1:2" x14ac:dyDescent="0.25">
      <c r="A13" t="s">
        <v>64</v>
      </c>
      <c r="B13" s="18">
        <f>B11+B12</f>
        <v>10661335327.48474</v>
      </c>
    </row>
    <row r="14" spans="1:2" x14ac:dyDescent="0.25">
      <c r="A14" s="19" t="s">
        <v>65</v>
      </c>
      <c r="B14" s="24">
        <f>B13/Assumptions!B31</f>
        <v>22.842471664709244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1065390163.8147573</v>
      </c>
    </row>
    <row r="18" spans="1:2" x14ac:dyDescent="0.25">
      <c r="A18" t="s">
        <v>60</v>
      </c>
      <c r="B18" s="18">
        <f>B17*Assumptions!B13</f>
        <v>12072942359.638027</v>
      </c>
    </row>
    <row r="19" spans="1:2" x14ac:dyDescent="0.25">
      <c r="A19" t="s">
        <v>61</v>
      </c>
      <c r="B19" s="18">
        <f>B18/(1+Assumptions!B26)^(5-0.5*Assumptions!B32)</f>
        <v>8781898762.150167</v>
      </c>
    </row>
    <row r="20" spans="1:2" x14ac:dyDescent="0.25">
      <c r="A20" t="s">
        <v>62</v>
      </c>
      <c r="B20" s="18">
        <f>Forecast!B17+B19</f>
        <v>11588505635.475418</v>
      </c>
    </row>
    <row r="21" spans="1:2" x14ac:dyDescent="0.25">
      <c r="A21" t="s">
        <v>63</v>
      </c>
      <c r="B21" s="18">
        <f>-Assumptions!B30</f>
        <v>-2194000000</v>
      </c>
    </row>
    <row r="22" spans="1:2" x14ac:dyDescent="0.25">
      <c r="A22" t="s">
        <v>64</v>
      </c>
      <c r="B22" s="18">
        <f>B20+B21</f>
        <v>9394505635.475418</v>
      </c>
    </row>
    <row r="23" spans="1:2" x14ac:dyDescent="0.25">
      <c r="A23" s="19" t="s">
        <v>65</v>
      </c>
      <c r="B23" s="25">
        <f>B22/Assumptions!B31</f>
        <v>20.128222421545978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25.94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22.842471664709244</v>
      </c>
    </row>
    <row r="29" spans="1:2" x14ac:dyDescent="0.25">
      <c r="A29" s="19" t="s">
        <v>73</v>
      </c>
      <c r="B29" s="12">
        <f>B28/B26-1</f>
        <v>-0.11941126967196447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0.053289</v>
      </c>
      <c r="B5" s="31">
        <v>33.341440878178304</v>
      </c>
      <c r="C5" s="31">
        <v>36.84876161258845</v>
      </c>
      <c r="D5" s="31">
        <v>41.57925363371981</v>
      </c>
      <c r="E5" s="31">
        <v>48.32073820057107</v>
      </c>
      <c r="F5" s="31">
        <v>58.72256126895164</v>
      </c>
    </row>
    <row r="6" spans="1:6" x14ac:dyDescent="0.25">
      <c r="A6" s="30">
        <v>0.063289</v>
      </c>
      <c r="B6" s="31">
        <v>25.57880503297785</v>
      </c>
      <c r="C6" s="31">
        <v>27.43559763975358</v>
      </c>
      <c r="D6" s="31">
        <v>29.765544824364888</v>
      </c>
      <c r="E6" s="31">
        <v>32.781849706987664</v>
      </c>
      <c r="F6" s="31">
        <v>36.848447579437504</v>
      </c>
    </row>
    <row r="7" spans="1:6" x14ac:dyDescent="0.25">
      <c r="A7" s="30">
        <v>0.073289</v>
      </c>
      <c r="B7" s="31">
        <v>20.48164133097435</v>
      </c>
      <c r="C7" s="31">
        <v>21.555312347313766</v>
      </c>
      <c r="D7" s="32">
        <v>22.842365619836006</v>
      </c>
      <c r="E7" s="31">
        <v>24.416739882231933</v>
      </c>
      <c r="F7" s="31">
        <v>26.390995265299026</v>
      </c>
    </row>
    <row r="8" spans="1:6" x14ac:dyDescent="0.25">
      <c r="A8" s="30">
        <v>0.083289</v>
      </c>
      <c r="B8" s="31">
        <v>16.878834526988154</v>
      </c>
      <c r="C8" s="31">
        <v>17.53320802966605</v>
      </c>
      <c r="D8" s="31">
        <v>18.292725327723822</v>
      </c>
      <c r="E8" s="31">
        <v>19.18698271553179</v>
      </c>
      <c r="F8" s="31">
        <v>20.257834473490288</v>
      </c>
    </row>
    <row r="9" spans="1:6" x14ac:dyDescent="0.25">
      <c r="A9" s="30">
        <v>0.093289</v>
      </c>
      <c r="B9" s="31">
        <v>14.197634227642862</v>
      </c>
      <c r="C9" s="31">
        <v>14.608615713858555</v>
      </c>
      <c r="D9" s="31">
        <v>15.073948808755752</v>
      </c>
      <c r="E9" s="31">
        <v>15.606515278995701</v>
      </c>
      <c r="F9" s="31">
        <v>16.223616856125354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3928000000</v>
      </c>
      <c r="C5" s="18">
        <v>3975000000</v>
      </c>
      <c r="D5" s="18">
        <v>4178000000</v>
      </c>
      <c r="E5" s="18">
        <v>4228000000</v>
      </c>
      <c r="F5" s="8" t="s">
        <v>84</v>
      </c>
    </row>
    <row r="6" spans="1:6" x14ac:dyDescent="0.25">
      <c r="A6" t="s">
        <v>44</v>
      </c>
      <c r="B6" s="18">
        <v>1152000000</v>
      </c>
      <c r="C6" s="18">
        <v>1214000000</v>
      </c>
      <c r="D6" s="18">
        <v>1154000000</v>
      </c>
      <c r="E6" s="18">
        <v>1127000000</v>
      </c>
      <c r="F6" s="8" t="s">
        <v>85</v>
      </c>
    </row>
    <row r="7" spans="1:6" x14ac:dyDescent="0.25">
      <c r="A7" t="s">
        <v>86</v>
      </c>
      <c r="B7" s="18">
        <v>92000000</v>
      </c>
      <c r="C7" s="18">
        <v>87000000</v>
      </c>
      <c r="D7" s="18">
        <v>87000000</v>
      </c>
      <c r="E7" s="18">
        <v>80000000</v>
      </c>
      <c r="F7" s="8" t="s">
        <v>87</v>
      </c>
    </row>
    <row r="8" spans="1:6" x14ac:dyDescent="0.25">
      <c r="A8" t="s">
        <v>88</v>
      </c>
      <c r="B8" s="18">
        <v>107000000</v>
      </c>
      <c r="C8" s="18">
        <v>167000000</v>
      </c>
      <c r="D8" s="18">
        <v>228000000</v>
      </c>
      <c r="E8" s="18">
        <v>183000000</v>
      </c>
      <c r="F8" s="8" t="s">
        <v>89</v>
      </c>
    </row>
    <row r="9" spans="1:6" x14ac:dyDescent="0.25">
      <c r="A9" t="s">
        <v>90</v>
      </c>
      <c r="B9" s="18">
        <v>-82000000</v>
      </c>
      <c r="C9" s="18">
        <v>253000000</v>
      </c>
      <c r="D9" s="18">
        <v>263000000</v>
      </c>
      <c r="E9" s="18">
        <v>352000000</v>
      </c>
      <c r="F9" s="8" t="s">
        <v>91</v>
      </c>
    </row>
    <row r="10" spans="1:6" x14ac:dyDescent="0.25">
      <c r="A10" t="s">
        <v>92</v>
      </c>
      <c r="B10" s="18">
        <v>2502000000</v>
      </c>
      <c r="C10" s="18">
        <v>2733000000</v>
      </c>
      <c r="D10" s="18">
        <v>3100000000</v>
      </c>
      <c r="E10" s="18">
        <v>2913000000</v>
      </c>
      <c r="F10" s="8" t="s">
        <v>93</v>
      </c>
    </row>
    <row r="11" spans="1:6" x14ac:dyDescent="0.25">
      <c r="A11" t="s">
        <v>94</v>
      </c>
      <c r="B11" s="18">
        <v>308000000</v>
      </c>
      <c r="C11" s="18">
        <v>444000000</v>
      </c>
      <c r="D11" s="18">
        <v>446000000</v>
      </c>
      <c r="E11" s="18">
        <v>374000000</v>
      </c>
      <c r="F11" s="8" t="s">
        <v>95</v>
      </c>
    </row>
    <row r="12" spans="1:6" x14ac:dyDescent="0.25">
      <c r="A12" t="s">
        <v>32</v>
      </c>
      <c r="B12" s="34">
        <v>466733000</v>
      </c>
      <c r="C12" s="34">
        <v>472950000</v>
      </c>
      <c r="D12" s="34">
        <v>477220000</v>
      </c>
      <c r="E12" s="34">
        <v>480465000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2026-09-19T00:07:47Z</dcterms:modified>
</cp:coreProperties>
</file>