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<sst xmlns="http://schemas.openxmlformats.org/spreadsheetml/2006/main" count="112" uniqueCount="100">
  <si>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Bunge Global SA (BG)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</si>
  <si>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</si>
  <si>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</si>
  <si>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</si>
  <si>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</si>
  <si>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</si>
  <si>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</si>
  <si>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</si>
  <si>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</si>
  <si>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</si>
  <si>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</si>
  <si>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</si>
  <si>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</si>
  <si>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</si>
  <si>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</si>
  <si>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</si>
  <si>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</si>
  <si>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</si>
  <si>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</si>
  <si>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</si>
  <si>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</si>
  <si>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</si>
  <si>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</si>
  <si>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</si>
  <si>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</si>
  <si>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</si>
  <si>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</si>
  <si>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</si>
  <si>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</si>
  <si>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</si>
  <si>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</si>
  <si>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</si>
  <si>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</si>
  <si>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</si>
  <si>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</si>
  <si>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</si>
  <si>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</si>
  <si>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</si>
  <si>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</si>
  <si>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</si>
  <si>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</si>
  <si>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</si>
  <si>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</si>
  <si>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</si>
  <si>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</si>
  <si>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</si>
  <si>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</si>
  <si>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</si>
  <si>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</si>
  <si>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</si>
  <si>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</si>
  <si>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</si>
  <si>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</si>
  <si>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</si>
  <si>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</si>
  <si>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</si>
  <si>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</si>
  <si>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</si>
  <si>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</si>
  <si>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</si>
  <si>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</si>
  <si>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</si>
  <si>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</si>
  <si>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</si>
  <si>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</si>
  <si>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</si>
  <si>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</si>
  <si>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</si>
  <si>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</si>
  <si>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</si>
  <si>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</si>
  <si>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</si>
  <si>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</si>
  <si>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</si>
  <si>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</si>
  <si>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</si>
  <si>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</si>
  <si>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</si>
  <si>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</si>
  <si>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</si>
  <si>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</si>
  <si>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</si>
  <si>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</si>
  <si>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</si>
  <si>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</si>
  <si>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</si>
  <si>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</si>
  <si>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</si>
  <si>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</si>
  <si>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</si>
  <si>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</si>
  <si>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</si>
  <si>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</si>
  <si>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</si>
  <si>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</si>
  <si>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</si>
  <si>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</si>
  <si>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</si>
  <si>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1.9%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</si>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</sst>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0.015124876158678413</v>
      </c>
    </row>
    <row r="7" spans="1:2" x14ac:dyDescent="0.25">
      <c r="A7" t="s">
        <v>5</v>
      </c>
      <c r="B7" s="6">
        <v>0.03396200681400213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0.008112846665975662</v>
      </c>
    </row>
    <row r="10" spans="1:2" x14ac:dyDescent="0.25">
      <c r="A10" t="s">
        <v>8</v>
      </c>
      <c r="B10" s="6">
        <v>0.01937701979519614</v>
      </c>
    </row>
    <row r="11" spans="1:2" x14ac:dyDescent="0.25">
      <c r="A11" t="s">
        <v>9</v>
      </c>
      <c r="B11" s="6">
        <v>0.029150455838801465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17.937032868434216</v>
      </c>
    </row>
    <row r="14" spans="1:3" x14ac:dyDescent="0.25">
      <c r="A14" t="s">
        <v>12</v>
      </c>
      <c r="B14" s="6">
        <v>0.10539403527854521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0.7722</v>
      </c>
      <c r="C19" s="8" t="s">
        <v>19</v>
      </c>
    </row>
    <row r="20" spans="1:2" x14ac:dyDescent="0.25">
      <c r="A20" t="s">
        <v>20</v>
      </c>
      <c r="B20" s="10">
        <f>B17+B19*B18</f>
        <v>0.092451</v>
      </c>
    </row>
    <row r="21" spans="1:3" x14ac:dyDescent="0.25">
      <c r="A21" t="s">
        <v>21</v>
      </c>
      <c r="B21" s="6">
        <v>0.054670497083659786</v>
      </c>
      <c r="C21" s="8" t="s">
        <v>22</v>
      </c>
    </row>
    <row r="22" spans="1:2" x14ac:dyDescent="0.25">
      <c r="A22" t="s">
        <v>23</v>
      </c>
      <c r="B22" s="11">
        <v>22205128704</v>
      </c>
    </row>
    <row r="23" spans="1:2" x14ac:dyDescent="0.25">
      <c r="A23" t="s">
        <v>24</v>
      </c>
      <c r="B23" s="11">
        <v>15855000000</v>
      </c>
    </row>
    <row r="24" spans="1:2" x14ac:dyDescent="0.25">
      <c r="A24" t="s">
        <v>25</v>
      </c>
      <c r="B24" s="10">
        <f>B22/(B22+B23)</f>
        <v>0.5834223230481695</v>
      </c>
    </row>
    <row r="25" spans="1:2" x14ac:dyDescent="0.25">
      <c r="A25" t="s">
        <v>26</v>
      </c>
      <c r="B25" s="10">
        <f>1-B24</f>
        <v>0.41657767695183046</v>
      </c>
    </row>
    <row r="26" spans="1:2" x14ac:dyDescent="0.25">
      <c r="A26" t="s">
        <v>27</v>
      </c>
      <c r="B26" s="12">
        <f>B24*B20+B25*B21*(1-B8)</f>
        <v>0.07192983903972745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70329000000</v>
      </c>
      <c r="C29" s="8" t="s">
        <v>30</v>
      </c>
    </row>
    <row r="30" spans="1:2" x14ac:dyDescent="0.25">
      <c r="A30" t="s">
        <v>31</v>
      </c>
      <c r="B30" s="11">
        <v>13651000000</v>
      </c>
    </row>
    <row r="31" spans="1:2" x14ac:dyDescent="0.25">
      <c r="A31" t="s">
        <v>32</v>
      </c>
      <c r="B31" s="13">
        <v>193408656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0.015124876158678413</v>
      </c>
      <c r="C5" s="10">
        <f>Assumptions!B6</f>
        <v>0.015124876158678413</v>
      </c>
      <c r="D5" s="10">
        <f>Assumptions!B6</f>
        <v>0.015124876158678413</v>
      </c>
      <c r="E5" s="10">
        <f>Assumptions!B6</f>
        <v>0.015124876158678413</v>
      </c>
      <c r="F5" s="10">
        <f>Assumptions!B6</f>
        <v>0.015124876158678413</v>
      </c>
    </row>
    <row r="6" spans="1:6" x14ac:dyDescent="0.25">
      <c r="A6" t="s">
        <v>43</v>
      </c>
      <c r="B6" s="18">
        <f>Assumptions!B29*(1+B5)</f>
        <v>71392717415.3637</v>
      </c>
      <c r="C6" s="18">
        <f>B6*(1+C5)</f>
        <v>72472523424.90259</v>
      </c>
      <c r="D6" s="18">
        <f>C6*(1+D5)</f>
        <v>73568661366.61116</v>
      </c>
      <c r="E6" s="18">
        <f>D6*(1+E5)</f>
        <v>74681378258.9409</v>
      </c>
      <c r="F6" s="18">
        <f>E6*(1+F5)</f>
        <v>75810924856.4668</v>
      </c>
    </row>
    <row r="7" spans="1:6" x14ac:dyDescent="0.25">
      <c r="A7" t="s">
        <v>5</v>
      </c>
      <c r="B7" s="10">
        <f>Assumptions!B7</f>
        <v>0.03396200681400213</v>
      </c>
      <c r="C7" s="10">
        <f>Assumptions!B7</f>
        <v>0.03396200681400213</v>
      </c>
      <c r="D7" s="10">
        <f>Assumptions!B7</f>
        <v>0.03396200681400213</v>
      </c>
      <c r="E7" s="10">
        <f>Assumptions!B7</f>
        <v>0.03396200681400213</v>
      </c>
      <c r="F7" s="10">
        <f>Assumptions!B7</f>
        <v>0.03396200681400213</v>
      </c>
    </row>
    <row r="8" spans="1:6" x14ac:dyDescent="0.25">
      <c r="A8" t="s">
        <v>44</v>
      </c>
      <c r="B8" s="18">
        <f>B6*B7</f>
        <v>2424639955.3307104</v>
      </c>
      <c r="C8" s="18">
        <f>C6*C7</f>
        <v>2461312334.384471</v>
      </c>
      <c r="D8" s="18">
        <f>D6*D7</f>
        <v>2498539378.6298637</v>
      </c>
      <c r="E8" s="18">
        <f>E6*E7</f>
        <v>2536329477.3092217</v>
      </c>
      <c r="F8" s="18">
        <f>F6*F7</f>
        <v>2574691146.551129</v>
      </c>
    </row>
    <row r="9" spans="1:6" x14ac:dyDescent="0.25">
      <c r="A9" t="s">
        <v>45</v>
      </c>
      <c r="B9" s="18">
        <f>B8*(1-Assumptions!B8)</f>
        <v>1915465564.7112613</v>
      </c>
      <c r="C9" s="18">
        <f>C8*(1-Assumptions!B8)</f>
        <v>1944436744.163732</v>
      </c>
      <c r="D9" s="18">
        <f>D8*(1-Assumptions!B8)</f>
        <v>1973846109.1175923</v>
      </c>
      <c r="E9" s="18">
        <f>E8*(1-Assumptions!B8)</f>
        <v>2003700287.0742853</v>
      </c>
      <c r="F9" s="18">
        <f>F8*(1-Assumptions!B8)</f>
        <v>2034006005.7753918</v>
      </c>
    </row>
    <row r="10" spans="1:6" x14ac:dyDescent="0.25">
      <c r="A10" t="s">
        <v>46</v>
      </c>
      <c r="B10" s="18">
        <f>B6*Assumptions!B9</f>
        <v>579198169.4581759</v>
      </c>
      <c r="C10" s="18">
        <f>C6*Assumptions!B9</f>
        <v>587958470.042564</v>
      </c>
      <c r="D10" s="18">
        <f>D6*Assumptions!B9</f>
        <v>596851269.0884038</v>
      </c>
      <c r="E10" s="18">
        <f>E6*Assumptions!B9</f>
        <v>605878570.618516</v>
      </c>
      <c r="F10" s="18">
        <f>F6*Assumptions!B9</f>
        <v>615042408.9663181</v>
      </c>
    </row>
    <row r="11" spans="1:6" x14ac:dyDescent="0.25">
      <c r="A11" t="s">
        <v>47</v>
      </c>
      <c r="B11" s="18">
        <f>-B6*Assumptions!B10</f>
        <v>-1383378098.5903466</v>
      </c>
      <c r="C11" s="18">
        <f>-C6*Assumptions!B10</f>
        <v>-1404301521.0121534</v>
      </c>
      <c r="D11" s="18">
        <f>-D6*Assumptions!B10</f>
        <v>-1425541407.606906</v>
      </c>
      <c r="E11" s="18">
        <f>-E6*Assumptions!B10</f>
        <v>-1447102544.8560286</v>
      </c>
      <c r="F11" s="18">
        <f>-F6*Assumptions!B10</f>
        <v>-1468989791.6358843</v>
      </c>
    </row>
    <row r="12" spans="1:6" x14ac:dyDescent="0.25">
      <c r="A12" t="s">
        <v>48</v>
      </c>
      <c r="B12" s="18">
        <f>-(B6-Assumptions!B29)*Assumptions!B11</f>
        <v>-31007847.541523375</v>
      </c>
      <c r="C12" s="18">
        <f>-(C6-B6)*Assumptions!B11</f>
        <v>-31476837.395535983</v>
      </c>
      <c r="D12" s="18">
        <f>-(D6-C6)*Assumptions!B11</f>
        <v>-31952920.663010474</v>
      </c>
      <c r="E12" s="18">
        <f>-(E6-D6)*Assumptions!B11</f>
        <v>-32436204.63094656</v>
      </c>
      <c r="F12" s="18">
        <f>-(F6-E6)*Assumptions!B11</f>
        <v>-32926798.20904703</v>
      </c>
    </row>
    <row r="13" spans="1:6" x14ac:dyDescent="0.25">
      <c r="A13" s="19" t="s">
        <v>49</v>
      </c>
      <c r="B13" s="20">
        <f>B9+B10+B11+B12</f>
        <v>1080277788.0375674</v>
      </c>
      <c r="C13" s="20">
        <f>C9+C10+C11+C12</f>
        <v>1096616855.7986066</v>
      </c>
      <c r="D13" s="20">
        <f>D9+D10+D11+D12</f>
        <v>1113203049.9360797</v>
      </c>
      <c r="E13" s="20">
        <f>E9+E10+E11+E12</f>
        <v>1130040108.2058263</v>
      </c>
      <c r="F13" s="20">
        <f>F9+F10+F11+F12</f>
        <v>1147131824.8967783</v>
      </c>
    </row>
    <row r="14" spans="1:6" x14ac:dyDescent="0.25">
      <c r="A14" t="s">
        <v>50</v>
      </c>
      <c r="B14" s="21">
        <f>1/(1+Assumptions!$B$26)^(1-0.5*Assumptions!$B$32)</f>
        <v>0.9658658694369849</v>
      </c>
      <c r="C14" s="21">
        <f>1/(1+Assumptions!$B$26)^(2-0.5*Assumptions!$B$32)</f>
        <v>0.9010532539165451</v>
      </c>
      <c r="D14" s="21">
        <f>1/(1+Assumptions!$B$26)^(3-0.5*Assumptions!$B$32)</f>
        <v>0.8405897672591525</v>
      </c>
      <c r="E14" s="21">
        <f>1/(1+Assumptions!$B$26)^(4-0.5*Assumptions!$B$32)</f>
        <v>0.7841835693389995</v>
      </c>
      <c r="F14" s="21">
        <f>1/(1+Assumptions!$B$26)^(5-0.5*Assumptions!$B$32)</f>
        <v>0.73156240341392</v>
      </c>
    </row>
    <row r="15" spans="1:6" x14ac:dyDescent="0.25">
      <c r="A15" s="19" t="s">
        <v>51</v>
      </c>
      <c r="B15" s="20">
        <f>B13*B14</f>
        <v>1043403444.976368</v>
      </c>
      <c r="C15" s="20">
        <f>C13*C14</f>
        <v>988110186.2170652</v>
      </c>
      <c r="D15" s="20">
        <f>D13*D14</f>
        <v>935747092.6579479</v>
      </c>
      <c r="E15" s="20">
        <f>E13*E14</f>
        <v>886158885.549074</v>
      </c>
      <c r="F15" s="20">
        <f>F13*F14</f>
        <v>839198514.8540832</v>
      </c>
    </row>
    <row r="17" spans="1:2" x14ac:dyDescent="0.25">
      <c r="A17" s="22" t="s">
        <v>52</v>
      </c>
      <c r="B17" s="23">
        <f>SUM(B15:F15)</f>
        <v>4692618124.254539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1147131824.8967783</v>
      </c>
    </row>
    <row r="5" spans="1:2" x14ac:dyDescent="0.25">
      <c r="A5" t="s">
        <v>56</v>
      </c>
      <c r="B5" s="18">
        <f>IF(Assumptions!$B$33=0,B4,B4-Forecast!F11-Forecast!F10-Forecast!F12)</f>
        <v>2034006005.7753918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0.23720507459390527</v>
      </c>
    </row>
    <row r="7" spans="1:2" x14ac:dyDescent="0.25">
      <c r="A7" t="s">
        <v>58</v>
      </c>
      <c r="B7" s="18">
        <f>-MAX(Forecast!F9,0)*B6</f>
        <v>-482476546.32440317</v>
      </c>
    </row>
    <row r="8" spans="1:2" x14ac:dyDescent="0.25">
      <c r="A8" t="s">
        <v>59</v>
      </c>
      <c r="B8" s="18">
        <f>IF(OR(Assumptions!$B$33=0,Assumptions!B12&lt;=0),B5,MAX(B5+B7,0))</f>
        <v>1551529459.4509888</v>
      </c>
    </row>
    <row r="9" spans="1:2" x14ac:dyDescent="0.25">
      <c r="A9" t="s">
        <v>60</v>
      </c>
      <c r="B9" s="18">
        <f>B8*(1+Assumptions!B12)/(Assumptions!B26-Assumptions!B12)</f>
        <v>33887132972.926113</v>
      </c>
    </row>
    <row r="10" spans="1:2" x14ac:dyDescent="0.25">
      <c r="A10" t="s">
        <v>61</v>
      </c>
      <c r="B10" s="18">
        <f>B9/(1+Assumptions!B26)^(5-0.5*Assumptions!B32)</f>
        <v>24790552442.480923</v>
      </c>
    </row>
    <row r="11" spans="1:2" x14ac:dyDescent="0.25">
      <c r="A11" t="s">
        <v>62</v>
      </c>
      <c r="B11" s="18">
        <f>Forecast!B17+B10</f>
        <v>29483170566.735462</v>
      </c>
    </row>
    <row r="12" spans="1:2" x14ac:dyDescent="0.25">
      <c r="A12" t="s">
        <v>63</v>
      </c>
      <c r="B12" s="18">
        <f>-Assumptions!B30</f>
        <v>-13651000000</v>
      </c>
    </row>
    <row r="13" spans="1:2" x14ac:dyDescent="0.25">
      <c r="A13" t="s">
        <v>64</v>
      </c>
      <c r="B13" s="18">
        <f>B11+B12</f>
        <v>15832170566.735462</v>
      </c>
    </row>
    <row r="14" spans="1:2" x14ac:dyDescent="0.25">
      <c r="A14" s="19" t="s">
        <v>65</v>
      </c>
      <c r="B14" s="24">
        <f>B13/Assumptions!B31</f>
        <v>81.85864528594554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3189733555.517447</v>
      </c>
    </row>
    <row r="18" spans="1:2" x14ac:dyDescent="0.25">
      <c r="A18" t="s">
        <v>60</v>
      </c>
      <c r="B18" s="18">
        <f>B17*Assumptions!B13</f>
        <v>57214355626.86398</v>
      </c>
    </row>
    <row r="19" spans="1:2" x14ac:dyDescent="0.25">
      <c r="A19" t="s">
        <v>61</v>
      </c>
      <c r="B19" s="18">
        <f>B18/(1+Assumptions!B26)^(5-0.5*Assumptions!B32)</f>
        <v>41855871512.16735</v>
      </c>
    </row>
    <row r="20" spans="1:2" x14ac:dyDescent="0.25">
      <c r="A20" t="s">
        <v>62</v>
      </c>
      <c r="B20" s="18">
        <f>Forecast!B17+B19</f>
        <v>46548489636.42189</v>
      </c>
    </row>
    <row r="21" spans="1:2" x14ac:dyDescent="0.25">
      <c r="A21" t="s">
        <v>63</v>
      </c>
      <c r="B21" s="18">
        <f>-Assumptions!B30</f>
        <v>-13651000000</v>
      </c>
    </row>
    <row r="22" spans="1:2" x14ac:dyDescent="0.25">
      <c r="A22" t="s">
        <v>64</v>
      </c>
      <c r="B22" s="18">
        <f>B20+B21</f>
        <v>32897489636.42189</v>
      </c>
    </row>
    <row r="23" spans="1:2" x14ac:dyDescent="0.25">
      <c r="A23" s="19" t="s">
        <v>65</v>
      </c>
      <c r="B23" s="25">
        <f>B22/Assumptions!B31</f>
        <v>170.09316085843588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115.58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81.85864528594554</v>
      </c>
    </row>
    <row r="29" spans="1:2" x14ac:dyDescent="0.25">
      <c r="A29" s="19" t="s">
        <v>73</v>
      </c>
      <c r="B29" s="12">
        <f>B28/B26-1</f>
        <v>-0.29175769782016314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0.05193</v>
      </c>
      <c r="B5" s="31">
        <v>152.2077431221806</v>
      </c>
      <c r="C5" s="31">
        <v>171.55286316598173</v>
      </c>
      <c r="D5" s="31">
        <v>197.93394556475312</v>
      </c>
      <c r="E5" s="31">
        <v>236.16355006881653</v>
      </c>
      <c r="F5" s="31">
        <v>296.73948126053347</v>
      </c>
    </row>
    <row r="6" spans="1:6" x14ac:dyDescent="0.25">
      <c r="A6" s="30">
        <v>0.06193</v>
      </c>
      <c r="B6" s="31">
        <v>103.0957473301044</v>
      </c>
      <c r="C6" s="31">
        <v>112.40641705948642</v>
      </c>
      <c r="D6" s="31">
        <v>124.13516308981056</v>
      </c>
      <c r="E6" s="31">
        <v>139.4179435956504</v>
      </c>
      <c r="F6" s="31">
        <v>160.2343544601376</v>
      </c>
    </row>
    <row r="7" spans="1:6" x14ac:dyDescent="0.25">
      <c r="A7" s="30">
        <v>0.07193</v>
      </c>
      <c r="B7" s="31">
        <v>71.32726542475945</v>
      </c>
      <c r="C7" s="31">
        <v>76.12085733157491</v>
      </c>
      <c r="D7" s="32">
        <v>81.85811034190522</v>
      </c>
      <c r="E7" s="31">
        <v>88.87660891920675</v>
      </c>
      <c r="F7" s="31">
        <v>97.69676149847989</v>
      </c>
    </row>
    <row r="8" spans="1:6" x14ac:dyDescent="0.25">
      <c r="A8" s="30">
        <v>0.08193</v>
      </c>
      <c r="B8" s="31">
        <v>49.123809812646094</v>
      </c>
      <c r="C8" s="31">
        <v>51.61780990674949</v>
      </c>
      <c r="D8" s="31">
        <v>54.488403516905606</v>
      </c>
      <c r="E8" s="31">
        <v>57.8443698216393</v>
      </c>
      <c r="F8" s="31">
        <v>61.840846055526775</v>
      </c>
    </row>
    <row r="9" spans="1:6" x14ac:dyDescent="0.25">
      <c r="A9" s="30">
        <v>0.09193</v>
      </c>
      <c r="B9" s="31">
        <v>32.751614732356366</v>
      </c>
      <c r="C9" s="31">
        <v>33.9797856905461</v>
      </c>
      <c r="D9" s="31">
        <v>35.34127720750797</v>
      </c>
      <c r="E9" s="31">
        <v>36.86838071520685</v>
      </c>
      <c r="F9" s="31">
        <v>38.60473190415838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70329000000</v>
      </c>
      <c r="C5" s="18">
        <v>53108000000</v>
      </c>
      <c r="D5" s="18">
        <v>59540000000</v>
      </c>
      <c r="E5" s="18">
        <v>67232000000</v>
      </c>
      <c r="F5" s="8" t="s">
        <v>84</v>
      </c>
    </row>
    <row r="6" spans="1:6" x14ac:dyDescent="0.25">
      <c r="A6" t="s">
        <v>44</v>
      </c>
      <c r="B6" s="18">
        <v>1296000000</v>
      </c>
      <c r="C6" s="18">
        <v>1617000000</v>
      </c>
      <c r="D6" s="18">
        <v>3130000000</v>
      </c>
      <c r="E6" s="18">
        <v>2313000000</v>
      </c>
      <c r="F6" s="8" t="s">
        <v>85</v>
      </c>
    </row>
    <row r="7" spans="1:6" x14ac:dyDescent="0.25">
      <c r="A7" t="s">
        <v>86</v>
      </c>
      <c r="B7" s="18">
        <v>703000000</v>
      </c>
      <c r="C7" s="18">
        <v>468000000</v>
      </c>
      <c r="D7" s="18">
        <v>451000000</v>
      </c>
      <c r="E7" s="18">
        <v>408000000</v>
      </c>
      <c r="F7" s="8" t="s">
        <v>87</v>
      </c>
    </row>
    <row r="8" spans="1:6" x14ac:dyDescent="0.25">
      <c r="A8" t="s">
        <v>88</v>
      </c>
      <c r="B8" s="18">
        <v>1723000000</v>
      </c>
      <c r="C8" s="18">
        <v>1376000000</v>
      </c>
      <c r="D8" s="18">
        <v>1122000000</v>
      </c>
      <c r="E8" s="18">
        <v>555000000</v>
      </c>
      <c r="F8" s="8" t="s">
        <v>89</v>
      </c>
    </row>
    <row r="9" spans="1:6" x14ac:dyDescent="0.25">
      <c r="A9" t="s">
        <v>90</v>
      </c>
      <c r="B9" s="18">
        <v>502000000</v>
      </c>
      <c r="C9" s="18">
        <v>-95000000</v>
      </c>
      <c r="D9" s="18">
        <v>-673000000</v>
      </c>
      <c r="E9" s="18">
        <v>7627000000</v>
      </c>
      <c r="F9" s="8" t="s">
        <v>91</v>
      </c>
    </row>
    <row r="10" spans="1:6" x14ac:dyDescent="0.25">
      <c r="A10" t="s">
        <v>92</v>
      </c>
      <c r="B10" s="18">
        <v>15855000000</v>
      </c>
      <c r="C10" s="18">
        <v>7119000000</v>
      </c>
      <c r="D10" s="18">
        <v>5756000000</v>
      </c>
      <c r="E10" s="18">
        <v>5623000000</v>
      </c>
      <c r="F10" s="8" t="s">
        <v>93</v>
      </c>
    </row>
    <row r="11" spans="1:6" x14ac:dyDescent="0.25">
      <c r="A11" t="s">
        <v>94</v>
      </c>
      <c r="B11" s="18">
        <v>2204000000</v>
      </c>
      <c r="C11" s="18">
        <v>3795000000</v>
      </c>
      <c r="D11" s="18">
        <v>2707000000</v>
      </c>
      <c r="E11" s="18">
        <v>1223000000</v>
      </c>
      <c r="F11" s="8" t="s">
        <v>95</v>
      </c>
    </row>
    <row r="12" spans="1:6" x14ac:dyDescent="0.25">
      <c r="A12" t="s">
        <v>32</v>
      </c>
      <c r="B12" s="34">
        <v>193408656</v>
      </c>
      <c r="C12" s="34">
        <v>142000000</v>
      </c>
      <c r="D12" s="34">
        <v>150787917</v>
      </c>
      <c r="E12" s="34">
        <v>153000000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2026-09-19T00:07:22Z</dcterms:modified>
</cp:coreProperties>
</file>