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<sst xmlns="http://schemas.openxmlformats.org/spreadsheetml/2006/main" count="121" uniqueCount="108">
  <si>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Bunge Global SA (BG)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</si>
  <si>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</si>
  <si>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</si>
  <si>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</si>
  <si>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</si>
  <si>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</si>
  <si>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</si>
  <si>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</si>
  <si>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</si>
  <si>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</si>
  <si>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</si>
  <si>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</si>
  <si>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</si>
  <si>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</si>
  <si>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</si>
  <si>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</si>
  <si>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</si>
  <si>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</si>
  <si>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</si>
  <si>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</si>
  <si>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</si>
  <si>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</si>
  <si>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</si>
  <si>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</si>
  <si>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+ 184bp, the spread for a BB rating at 2.1x interest cover. Book interest / average debt was lower, at 5.5%.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</si>
  <si>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</si>
  <si>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</si>
  <si>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</si>
  <si>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</si>
  <si>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</si>
  <si>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</si>
  <si>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</si>
  <si>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</si>
  <si>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</si>
  <si>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</si>
  <si>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</si>
  <si>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</si>
  <si>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</si>
  <si>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</si>
  <si>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</si>
  <si>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</si>
  <si>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</si>
  <si>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</si>
  <si>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</si>
  <si>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</si>
  <si>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</si>
  <si>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</si>
  <si>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</si>
  <si>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</si>
  <si>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</si>
  <si>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</si>
  <si>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</si>
  <si>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</si>
  <si>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</si>
  <si>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</si>
  <si>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</si>
  <si>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</si>
  <si>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</si>
  <si>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</si>
  <si>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</si>
  <si>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</si>
  <si>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</si>
  <si>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</si>
  <si>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</si>
  <si>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</si>
  <si>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</si>
  <si>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</si>
  <si>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</si>
  <si>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</si>
  <si>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</si>
  <si>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</si>
  <si>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</si>
  <si>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</si>
  <si>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</si>
  <si>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</si>
  <si>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</si>
  <si>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</si>
  <si>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</si>
  <si>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</si>
  <si>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</si>
  <si>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</si>
  <si>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</si>
  <si>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</si>
  <si>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</si>
  <si>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</si>
  <si>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</si>
  <si>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</si>
  <si>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</si>
  <si>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</si>
  <si>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</si>
  <si>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</si>
  <si>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</si>
  <si>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</si>
  <si>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</si>
  <si>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</si>
  <si>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</si>
  <si>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</si>
  <si>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</si>
  <si>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</si>
  <si>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</si>
  <si>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</si>
  <si>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</si>
  <si>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</si>
  <si>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</si>
  <si>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</si>
  <si>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</si>
  <si>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1.9% of revenue against depreciation of 0.8%.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</si>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</sst>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0.337334346286738</v>
      </c>
    </row>
    <row r="7" spans="1:2" x14ac:dyDescent="0.25">
      <c r="A7" t="s">
        <v>4</v>
      </c>
      <c r="B7" s="5">
        <v>0.03396200681400213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0.008112846665975662</v>
      </c>
    </row>
    <row r="10" spans="1:3" x14ac:dyDescent="0.25">
      <c r="A10" t="s">
        <v>7</v>
      </c>
      <c r="B10" s="5">
        <v>0.01937701979519614</v>
      </c>
      <c r="C10" s="6" t="s">
        <v>8</v>
      </c>
    </row>
    <row r="11" spans="1:2" x14ac:dyDescent="0.25">
      <c r="A11" t="s">
        <v>9</v>
      </c>
      <c r="B11" s="5">
        <v>0.10613986558852513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16.117945788894446</v>
      </c>
    </row>
    <row r="14" spans="1:3" x14ac:dyDescent="0.25">
      <c r="A14" t="s">
        <v>12</v>
      </c>
      <c r="B14" s="5">
        <v>0.10539403527854521</v>
      </c>
      <c r="C14" s="6" t="s">
        <v>13</v>
      </c>
    </row>
    <row r="15" spans="1:3" x14ac:dyDescent="0.25">
      <c r="A15" t="s">
        <v>14</v>
      </c>
      <c r="B15" s="5">
        <v>0.008112846665975662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0.81173</v>
      </c>
      <c r="C19" s="6" t="s">
        <v>21</v>
      </c>
    </row>
    <row r="20" spans="1:2" x14ac:dyDescent="0.25">
      <c r="A20" t="s">
        <v>22</v>
      </c>
      <c r="B20" s="9">
        <f>B17+B19*B18</f>
        <v>0.083276179</v>
      </c>
    </row>
    <row r="21" spans="1:3" x14ac:dyDescent="0.25">
      <c r="A21" t="s">
        <v>23</v>
      </c>
      <c r="B21" s="5">
        <v>0.06734000000000001</v>
      </c>
      <c r="C21" s="6" t="s">
        <v>24</v>
      </c>
    </row>
    <row r="22" spans="1:2" x14ac:dyDescent="0.25">
      <c r="A22" t="s">
        <v>25</v>
      </c>
      <c r="B22" s="10">
        <v>18568773632</v>
      </c>
    </row>
    <row r="23" spans="1:2" x14ac:dyDescent="0.25">
      <c r="A23" t="s">
        <v>26</v>
      </c>
      <c r="B23" s="10">
        <v>15855000000</v>
      </c>
    </row>
    <row r="24" spans="1:2" x14ac:dyDescent="0.25">
      <c r="A24" t="s">
        <v>27</v>
      </c>
      <c r="B24" s="9">
        <f>B22/(B22+B23)</f>
        <v>0.5394171432366919</v>
      </c>
    </row>
    <row r="25" spans="1:2" x14ac:dyDescent="0.25">
      <c r="A25" t="s">
        <v>28</v>
      </c>
      <c r="B25" s="9">
        <f>1-B24</f>
        <v>0.4605828567633081</v>
      </c>
    </row>
    <row r="26" spans="1:2" x14ac:dyDescent="0.25">
      <c r="A26" t="s">
        <v>29</v>
      </c>
      <c r="B26" s="11">
        <f>B24*B20+B25*B21*(1-B8)</f>
        <v>0.06942296173965593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70329000000</v>
      </c>
      <c r="C29" s="6" t="s">
        <v>32</v>
      </c>
    </row>
    <row r="30" spans="1:2" x14ac:dyDescent="0.25">
      <c r="A30" t="s">
        <v>33</v>
      </c>
      <c r="B30" s="10">
        <v>13651000000</v>
      </c>
    </row>
    <row r="31" spans="1:2" x14ac:dyDescent="0.25">
      <c r="A31" t="s">
        <v>34</v>
      </c>
      <c r="B31" s="12">
        <v>166466940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0.337334346286738</v>
      </c>
      <c r="C5" s="5">
        <v>0.01939296971140103</v>
      </c>
      <c r="D5" s="5">
        <v>0.0200938484974759</v>
      </c>
      <c r="E5" s="5">
        <v>0.020794727283550772</v>
      </c>
      <c r="F5" s="5">
        <v>0.021495606069625646</v>
      </c>
      <c r="G5" s="5">
        <v>0.022196484855700516</v>
      </c>
      <c r="H5" s="5">
        <v>0.022897363641775387</v>
      </c>
      <c r="I5" s="5">
        <v>0.02359824242785026</v>
      </c>
      <c r="J5" s="5">
        <v>0.02429912121392513</v>
      </c>
      <c r="K5" s="5">
        <v>0.025</v>
      </c>
    </row>
    <row r="6" spans="1:11" x14ac:dyDescent="0.25">
      <c r="A6" t="s">
        <v>50</v>
      </c>
      <c r="B6" s="18">
        <f>Assumptions!B29*(1+B5)</f>
        <v>94053387240</v>
      </c>
      <c r="C6" s="18">
        <f>B6*(1+C5)</f>
        <v>95877361729.99998</v>
      </c>
      <c r="D6" s="18">
        <f>C6*(1+D5)</f>
        <v>97803906910.9403</v>
      </c>
      <c r="E6" s="18">
        <f>D6*(1+E5)</f>
        <v>99837712482.4191</v>
      </c>
      <c r="F6" s="18">
        <f>E6*(1+F5)</f>
        <v>101983784620.83372</v>
      </c>
      <c r="G6" s="18">
        <f>F6*(1+G5)</f>
        <v>104247466151.6971</v>
      </c>
      <c r="H6" s="18">
        <f>G6*(1+H5)</f>
        <v>106634458292.90617</v>
      </c>
      <c r="I6" s="18">
        <f>H6*(1+I5)</f>
        <v>109150844090.86465</v>
      </c>
      <c r="J6" s="18">
        <f>I6*(1+J5)</f>
        <v>111803113682.03082</v>
      </c>
      <c r="K6" s="18">
        <f>J6*(1+K5)</f>
        <v>114598191524.08159</v>
      </c>
    </row>
    <row r="7" spans="1:11" x14ac:dyDescent="0.25">
      <c r="A7" t="s">
        <v>4</v>
      </c>
      <c r="B7" s="9">
        <f>Assumptions!B7</f>
        <v>0.03396200681400213</v>
      </c>
      <c r="C7" s="9">
        <f>Assumptions!B7</f>
        <v>0.03396200681400213</v>
      </c>
      <c r="D7" s="9">
        <f>Assumptions!B7</f>
        <v>0.03396200681400213</v>
      </c>
      <c r="E7" s="9">
        <f>Assumptions!B7</f>
        <v>0.03396200681400213</v>
      </c>
      <c r="F7" s="9">
        <f>Assumptions!B7</f>
        <v>0.03396200681400213</v>
      </c>
      <c r="G7" s="9">
        <f>Assumptions!B7</f>
        <v>0.03396200681400213</v>
      </c>
      <c r="H7" s="9">
        <f>Assumptions!B7</f>
        <v>0.03396200681400213</v>
      </c>
      <c r="I7" s="9">
        <f>Assumptions!B7</f>
        <v>0.03396200681400213</v>
      </c>
      <c r="J7" s="9">
        <f>Assumptions!B7</f>
        <v>0.03396200681400213</v>
      </c>
      <c r="K7" s="9">
        <f>Assumptions!B7</f>
        <v>0.03396200681400213</v>
      </c>
    </row>
    <row r="8" spans="1:11" x14ac:dyDescent="0.25">
      <c r="A8" t="s">
        <v>51</v>
      </c>
      <c r="B8" s="18">
        <f>B6*B7</f>
        <v>3194241778.324861</v>
      </c>
      <c r="C8" s="18">
        <f>C6*C7</f>
        <v>3256187612.382807</v>
      </c>
      <c r="D8" s="18">
        <f>D6*D7</f>
        <v>3321616952.945385</v>
      </c>
      <c r="E8" s="18">
        <f>E6*E7</f>
        <v>3390689071.622303</v>
      </c>
      <c r="F8" s="18">
        <f>F6*F7</f>
        <v>3463573988.2104807</v>
      </c>
      <c r="G8" s="18">
        <f>G6*G7</f>
        <v>3540453155.7863936</v>
      </c>
      <c r="H8" s="18">
        <f>H6*H7</f>
        <v>3621520199.151106</v>
      </c>
      <c r="I8" s="18">
        <f>I6*I7</f>
        <v>3706981710.7680297</v>
      </c>
      <c r="J8" s="18">
        <f>J6*J7</f>
        <v>3797058108.695786</v>
      </c>
      <c r="K8" s="18">
        <f>K6*K7</f>
        <v>3891984561.4131804</v>
      </c>
    </row>
    <row r="9" spans="1:11" x14ac:dyDescent="0.25">
      <c r="A9" t="s">
        <v>52</v>
      </c>
      <c r="B9" s="18">
        <f>B8*(1-Assumptions!B8)</f>
        <v>2523451004.8766403</v>
      </c>
      <c r="C9" s="18">
        <f>C8*(1-Assumptions!B8)</f>
        <v>2572388213.7824173</v>
      </c>
      <c r="D9" s="18">
        <f>D8*(1-Assumptions!B8)</f>
        <v>2624077392.826854</v>
      </c>
      <c r="E9" s="18">
        <f>E8*(1-Assumptions!B8)</f>
        <v>2678644366.5816193</v>
      </c>
      <c r="F9" s="18">
        <f>F8*(1-Assumptions!B8)</f>
        <v>2736223450.68628</v>
      </c>
      <c r="G9" s="18">
        <f>G8*(1-Assumptions!B8)</f>
        <v>2796957993.071251</v>
      </c>
      <c r="H9" s="18">
        <f>H8*(1-Assumptions!B8)</f>
        <v>2861000957.329374</v>
      </c>
      <c r="I9" s="18">
        <f>I8*(1-Assumptions!B8)</f>
        <v>2928515551.5067434</v>
      </c>
      <c r="J9" s="18">
        <f>J8*(1-Assumptions!B8)</f>
        <v>2999675905.869671</v>
      </c>
      <c r="K9" s="18">
        <f>K8*(1-Assumptions!B8)</f>
        <v>3074667803.5164127</v>
      </c>
    </row>
    <row r="10" spans="1:11" x14ac:dyDescent="0.25">
      <c r="A10" t="s">
        <v>53</v>
      </c>
      <c r="B10" s="18">
        <f>B6*Assumptions!B9</f>
        <v>763040709.0937518</v>
      </c>
      <c r="C10" s="18">
        <f>C6*Assumptions!B9</f>
        <v>777838334.4537729</v>
      </c>
      <c r="D10" s="18">
        <f>D6*Assumptions!B9</f>
        <v>793468100.101816</v>
      </c>
      <c r="E10" s="18">
        <f>E6*Assumptions!B9</f>
        <v>809968052.8516304</v>
      </c>
      <c r="F10" s="18">
        <f>F6*Assumptions!B9</f>
        <v>827378807.0447109</v>
      </c>
      <c r="G10" s="18">
        <f>G6*Assumptions!B9</f>
        <v>845743708.2052064</v>
      </c>
      <c r="H10" s="18">
        <f>H6*Assumptions!B9</f>
        <v>865109009.4397246</v>
      </c>
      <c r="I10" s="18">
        <f>I6*Assumptions!B9</f>
        <v>885524061.5710006</v>
      </c>
      <c r="J10" s="18">
        <f>J6*Assumptions!B9</f>
        <v>907041518.0809617</v>
      </c>
      <c r="K10" s="18">
        <f>K6*Assumptions!B9</f>
        <v>929717556.0329857</v>
      </c>
    </row>
    <row r="11" spans="1:11" x14ac:dyDescent="0.25">
      <c r="A11" t="s">
        <v>54</v>
      </c>
      <c r="B11" s="18">
        <f>-B6*B19</f>
        <v>-1822474346.354728</v>
      </c>
      <c r="C11" s="18">
        <f>-C6*C19</f>
        <v>-1805618017.9795156</v>
      </c>
      <c r="D11" s="18">
        <f>-D6*D19</f>
        <v>-1788651425.4934063</v>
      </c>
      <c r="E11" s="18">
        <f>-E6*E19</f>
        <v>-1771490250.5983462</v>
      </c>
      <c r="F11" s="18">
        <f>-F6*F19</f>
        <v>-1754045405.1128829</v>
      </c>
      <c r="G11" s="18">
        <f>-G6*G19</f>
        <v>-1736222505.424484</v>
      </c>
      <c r="H11" s="18">
        <f>-H6*H19</f>
        <v>-1717921306.3547354</v>
      </c>
      <c r="I11" s="18">
        <f>-I6*I19</f>
        <v>-1699035090.3478987</v>
      </c>
      <c r="J11" s="18">
        <f>-J6*J19</f>
        <v>-1679450007.5226462</v>
      </c>
      <c r="K11" s="18">
        <f>-K6*K19</f>
        <v>-1659044361.7175753</v>
      </c>
    </row>
    <row r="12" spans="1:11" x14ac:dyDescent="0.25">
      <c r="A12" t="s">
        <v>55</v>
      </c>
      <c r="B12" s="18">
        <f>-(B6-Assumptions!B29)*Assumptions!B11</f>
        <v>-2518103272.823721</v>
      </c>
      <c r="C12" s="18">
        <f>-(C6-B6)*Assumptions!B11</f>
        <v>-193596407.20549706</v>
      </c>
      <c r="D12" s="18">
        <f>-(D6-C6)*Assumptions!B11</f>
        <v>-204483246.5552267</v>
      </c>
      <c r="E12" s="18">
        <f>-(E6-D6)*Assumptions!B11</f>
        <v>-215867849.98995236</v>
      </c>
      <c r="F12" s="18">
        <f>-(F6-E6)*Assumptions!B11</f>
        <v>-227783808.31460723</v>
      </c>
      <c r="G12" s="18">
        <f>-(G6-F6)*Assumptions!B11</f>
        <v>-240266853.42106518</v>
      </c>
      <c r="H12" s="18">
        <f>-(H6-G6)*Assumptions!B11</f>
        <v>-253355025.02879712</v>
      </c>
      <c r="I12" s="18">
        <f>-(I6-H6)*Assumptions!B11</f>
        <v>-267088850.3641867</v>
      </c>
      <c r="J12" s="18">
        <f>-(J6-I6)*Assumptions!B11</f>
        <v>-281511537.9109096</v>
      </c>
      <c r="K12" s="18">
        <f>-(K6-J6)*Assumptions!B11</f>
        <v>-296669186.4647332</v>
      </c>
    </row>
    <row r="13" spans="1:11" x14ac:dyDescent="0.25">
      <c r="A13" s="19" t="s">
        <v>56</v>
      </c>
      <c r="B13" s="20">
        <f>B9+B10+B11+B12</f>
        <v>-1054085905.2080567</v>
      </c>
      <c r="C13" s="20">
        <f>C9+C10+C11+C12</f>
        <v>1351012123.0511777</v>
      </c>
      <c r="D13" s="20">
        <f>D9+D10+D11+D12</f>
        <v>1424410820.8800373</v>
      </c>
      <c r="E13" s="20">
        <f>E9+E10+E11+E12</f>
        <v>1501254318.844951</v>
      </c>
      <c r="F13" s="20">
        <f>F9+F10+F11+F12</f>
        <v>1581773044.3035004</v>
      </c>
      <c r="G13" s="20">
        <f>G9+G10+G11+G12</f>
        <v>1666212342.4309082</v>
      </c>
      <c r="H13" s="20">
        <f>H9+H10+H11+H12</f>
        <v>1754833635.3855658</v>
      </c>
      <c r="I13" s="20">
        <f>I9+I10+I11+I12</f>
        <v>1847915672.3656585</v>
      </c>
      <c r="J13" s="20">
        <f>J9+J10+J11+J12</f>
        <v>1945755878.5170765</v>
      </c>
      <c r="K13" s="20">
        <f>K9+K10+K11+K12</f>
        <v>2048671811.3670902</v>
      </c>
    </row>
    <row r="14" spans="1:11" x14ac:dyDescent="0.25">
      <c r="A14" t="s">
        <v>57</v>
      </c>
      <c r="B14" s="21">
        <f>1/(1+Assumptions!$B$26)^(1-0.5*Assumptions!$B$32)</f>
        <v>0.9669972692663383</v>
      </c>
      <c r="C14" s="21">
        <f>1/(1+Assumptions!$B$26)^(2-0.5*Assumptions!$B$32)</f>
        <v>0.9042234025846057</v>
      </c>
      <c r="D14" s="21">
        <f>1/(1+Assumptions!$B$26)^(3-0.5*Assumptions!$B$32)</f>
        <v>0.8455245818863697</v>
      </c>
      <c r="E14" s="21">
        <f>1/(1+Assumptions!$B$26)^(4-0.5*Assumptions!$B$32)</f>
        <v>0.7906362703405344</v>
      </c>
      <c r="F14" s="21">
        <f>1/(1+Assumptions!$B$26)^(5-0.5*Assumptions!$B$32)</f>
        <v>0.7393111038633278</v>
      </c>
      <c r="G14" s="21">
        <f>1/(1+Assumptions!$B$26)^(6-0.5*Assumptions!$B$32)</f>
        <v>0.6913177763274061</v>
      </c>
      <c r="H14" s="21">
        <f>1/(1+Assumptions!$B$26)^(7-0.5*Assumptions!$B$32)</f>
        <v>0.6464399971390393</v>
      </c>
      <c r="I14" s="21">
        <f>1/(1+Assumptions!$B$26)^(8-0.5*Assumptions!$B$32)</f>
        <v>0.6044755164855071</v>
      </c>
      <c r="J14" s="21">
        <f>1/(1+Assumptions!$B$26)^(9-0.5*Assumptions!$B$32)</f>
        <v>0.5652352138598111</v>
      </c>
      <c r="K14" s="21">
        <f>1/(1+Assumptions!$B$26)^(10-0.5*Assumptions!$B$32)</f>
        <v>0.5285422457549719</v>
      </c>
    </row>
    <row r="15" spans="1:11" x14ac:dyDescent="0.25">
      <c r="A15" s="19" t="s">
        <v>58</v>
      </c>
      <c r="B15" s="20">
        <f>B13*B14</f>
        <v>-1019298191.9083272</v>
      </c>
      <c r="C15" s="20">
        <f>C13*C14</f>
        <v>1221616778.838388</v>
      </c>
      <c r="D15" s="20">
        <f>D13*D14</f>
        <v>1204374363.7590141</v>
      </c>
      <c r="E15" s="20">
        <f>E13*E14</f>
        <v>1186946115.4841914</v>
      </c>
      <c r="F15" s="20">
        <f>F13*F14</f>
        <v>1169422375.4452775</v>
      </c>
      <c r="G15" s="20">
        <f>G13*G14</f>
        <v>1151882211.4586139</v>
      </c>
      <c r="H15" s="20">
        <f>H13*H14</f>
        <v>1134394650.238135</v>
      </c>
      <c r="I15" s="20">
        <f>I13*I14</f>
        <v>1117019780.4748945</v>
      </c>
      <c r="J15" s="20">
        <f>J13*J14</f>
        <v>1099809740.1125844</v>
      </c>
      <c r="K15" s="20">
        <f>K13*K14</f>
        <v>1082809599.994868</v>
      </c>
    </row>
    <row r="17" spans="1:2" x14ac:dyDescent="0.25">
      <c r="A17" s="22" t="s">
        <v>59</v>
      </c>
      <c r="B17" s="23">
        <f>SUM(B15:K15)</f>
        <v>9348977423.89764</v>
      </c>
    </row>
    <row r="19" spans="1:11" x14ac:dyDescent="0.25">
      <c r="A19" t="s">
        <v>7</v>
      </c>
      <c r="B19" s="9">
        <f>Assumptions!$B$10+($B$20-Assumptions!$B$10)*0/9</f>
        <v>0.01937701979519614</v>
      </c>
      <c r="C19" s="9">
        <f>Assumptions!$B$10+($B$20-Assumptions!$B$10)*1/9</f>
        <v>0.018832579301298592</v>
      </c>
      <c r="D19" s="9">
        <f>Assumptions!$B$10+($B$20-Assumptions!$B$10)*2/9</f>
        <v>0.01828813880740104</v>
      </c>
      <c r="E19" s="9">
        <f>Assumptions!$B$10+($B$20-Assumptions!$B$10)*3/9</f>
        <v>0.017743698313503493</v>
      </c>
      <c r="F19" s="9">
        <f>Assumptions!$B$10+($B$20-Assumptions!$B$10)*4/9</f>
        <v>0.017199257819605945</v>
      </c>
      <c r="G19" s="9">
        <f>Assumptions!$B$10+($B$20-Assumptions!$B$10)*5/9</f>
        <v>0.016654817325708393</v>
      </c>
      <c r="H19" s="9">
        <f>Assumptions!$B$10+($B$20-Assumptions!$B$10)*6/9</f>
        <v>0.016110376831810845</v>
      </c>
      <c r="I19" s="9">
        <f>Assumptions!$B$10+($B$20-Assumptions!$B$10)*7/9</f>
        <v>0.015565936337913295</v>
      </c>
      <c r="J19" s="9">
        <f>Assumptions!$B$10+($B$20-Assumptions!$B$10)*8/9</f>
        <v>0.015021495844015747</v>
      </c>
      <c r="K19" s="9">
        <f>Assumptions!$B$10+($B$20-Assumptions!$B$10)*9/9</f>
        <v>0.014477055350118197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0.014477055350118197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2048671811.3670902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3074667803.5164127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0.23720507459390527</v>
      </c>
    </row>
    <row r="7" spans="1:2" x14ac:dyDescent="0.25">
      <c r="A7" t="s">
        <v>66</v>
      </c>
      <c r="B7" s="18">
        <f>-MAX(B5,0)*B6</f>
        <v>-729326805.6845896</v>
      </c>
    </row>
    <row r="8" spans="1:2" x14ac:dyDescent="0.25">
      <c r="A8" t="s">
        <v>67</v>
      </c>
      <c r="B8" s="18">
        <f>IF(OR(Assumptions!$B$33=0,Assumptions!B12&lt;=0),B5,MAX(B5+B7,0))</f>
        <v>2345340997.8318233</v>
      </c>
    </row>
    <row r="9" spans="1:2" x14ac:dyDescent="0.25">
      <c r="A9" t="s">
        <v>68</v>
      </c>
      <c r="B9" s="18">
        <f>B8*(1+Assumptions!B12)/(Assumptions!B26-Assumptions!B12)</f>
        <v>54115584117.652725</v>
      </c>
    </row>
    <row r="10" spans="1:2" x14ac:dyDescent="0.25">
      <c r="A10" t="s">
        <v>69</v>
      </c>
      <c r="B10" s="18">
        <f>B9/(1+Assumptions!B26)^(10-0.5*Assumptions!B32)</f>
        <v>28602372359.88626</v>
      </c>
    </row>
    <row r="11" spans="1:2" x14ac:dyDescent="0.25">
      <c r="A11" t="s">
        <v>70</v>
      </c>
      <c r="B11" s="18">
        <f>Forecast!B17+B10</f>
        <v>37951349783.783905</v>
      </c>
    </row>
    <row r="12" spans="1:2" x14ac:dyDescent="0.25">
      <c r="A12" t="s">
        <v>71</v>
      </c>
      <c r="B12" s="18">
        <f>-Assumptions!B30</f>
        <v>-13651000000</v>
      </c>
    </row>
    <row r="13" spans="1:2" x14ac:dyDescent="0.25">
      <c r="A13" t="s">
        <v>72</v>
      </c>
      <c r="B13" s="18">
        <f>B11+B12</f>
        <v>24300349783.783905</v>
      </c>
    </row>
    <row r="14" spans="1:2" x14ac:dyDescent="0.25">
      <c r="A14" s="19" t="s">
        <v>73</v>
      </c>
      <c r="B14" s="24">
        <f>B13/Assumptions!B31</f>
        <v>145.97703173845753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4821702117.446166</v>
      </c>
    </row>
    <row r="18" spans="1:2" x14ac:dyDescent="0.25">
      <c r="A18" t="s">
        <v>68</v>
      </c>
      <c r="B18" s="18">
        <f>B17*Assumptions!B13</f>
        <v>77715933339.19487</v>
      </c>
    </row>
    <row r="19" spans="1:2" x14ac:dyDescent="0.25">
      <c r="A19" t="s">
        <v>69</v>
      </c>
      <c r="B19" s="18">
        <f>B18/(1+Assumptions!B26)^(10-0.5*Assumptions!B32)</f>
        <v>41076153938.04175</v>
      </c>
    </row>
    <row r="20" spans="1:2" x14ac:dyDescent="0.25">
      <c r="A20" t="s">
        <v>70</v>
      </c>
      <c r="B20" s="18">
        <f>Forecast!B17+B19</f>
        <v>50425131361.93939</v>
      </c>
    </row>
    <row r="21" spans="1:2" x14ac:dyDescent="0.25">
      <c r="A21" t="s">
        <v>71</v>
      </c>
      <c r="B21" s="18">
        <f>-Assumptions!B30</f>
        <v>-13651000000</v>
      </c>
    </row>
    <row r="22" spans="1:2" x14ac:dyDescent="0.25">
      <c r="A22" t="s">
        <v>72</v>
      </c>
      <c r="B22" s="18">
        <f>B20+B21</f>
        <v>36774131361.93939</v>
      </c>
    </row>
    <row r="23" spans="1:2" x14ac:dyDescent="0.25">
      <c r="A23" s="19" t="s">
        <v>73</v>
      </c>
      <c r="B23" s="25">
        <f>B22/Assumptions!B31</f>
        <v>220.90951730078893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96.64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145.97703173845753</v>
      </c>
    </row>
    <row r="29" spans="1:2" x14ac:dyDescent="0.25">
      <c r="A29" s="19" t="s">
        <v>81</v>
      </c>
      <c r="B29" s="11">
        <f>B28/B26-1</f>
        <v>0.5105239211347012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0.049423</v>
      </c>
      <c r="B5" s="31">
        <v>282.1727354081233</v>
      </c>
      <c r="C5" s="31">
        <v>311.8970860198843</v>
      </c>
      <c r="D5" s="31">
        <v>354.7789227780918</v>
      </c>
      <c r="E5" s="31">
        <v>420.97951285036623</v>
      </c>
      <c r="F5" s="31">
        <v>534.7504890253791</v>
      </c>
    </row>
    <row r="6" spans="1:6" x14ac:dyDescent="0.25">
      <c r="A6" s="30">
        <v>0.059423</v>
      </c>
      <c r="B6" s="31">
        <v>192.11956254736444</v>
      </c>
      <c r="C6" s="31">
        <v>203.9255760803068</v>
      </c>
      <c r="D6" s="31">
        <v>219.82242790187854</v>
      </c>
      <c r="E6" s="31">
        <v>241.89564886649416</v>
      </c>
      <c r="F6" s="31">
        <v>273.9386114978264</v>
      </c>
    </row>
    <row r="7" spans="1:6" x14ac:dyDescent="0.25">
      <c r="A7" s="30">
        <v>0.069423</v>
      </c>
      <c r="B7" s="31">
        <v>135.54055227258326</v>
      </c>
      <c r="C7" s="31">
        <v>140.01316726459362</v>
      </c>
      <c r="D7" s="32">
        <v>145.97681343464419</v>
      </c>
      <c r="E7" s="31">
        <v>153.9988110696385</v>
      </c>
      <c r="F7" s="31">
        <v>164.97609744913274</v>
      </c>
    </row>
    <row r="8" spans="1:6" x14ac:dyDescent="0.25">
      <c r="A8" s="30">
        <v>0.079423</v>
      </c>
      <c r="B8" s="31">
        <v>96.82017466491463</v>
      </c>
      <c r="C8" s="31">
        <v>97.88990357983623</v>
      </c>
      <c r="D8" s="31">
        <v>99.5300676280075</v>
      </c>
      <c r="E8" s="31">
        <v>101.91379525162633</v>
      </c>
      <c r="F8" s="31">
        <v>105.29216030053888</v>
      </c>
    </row>
    <row r="9" spans="1:6" x14ac:dyDescent="0.25">
      <c r="A9" s="30">
        <v>0.089423</v>
      </c>
      <c r="B9" s="31">
        <v>68.73812605073664</v>
      </c>
      <c r="C9" s="31">
        <v>68.11957750567733</v>
      </c>
      <c r="D9" s="31">
        <v>67.70404724837523</v>
      </c>
      <c r="E9" s="31">
        <v>67.54278267994373</v>
      </c>
      <c r="F9" s="31">
        <v>67.70586419530882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70329000000</v>
      </c>
      <c r="C5" s="18">
        <v>53108000000</v>
      </c>
      <c r="D5" s="18">
        <v>59540000000</v>
      </c>
      <c r="E5" s="18">
        <v>67232000000</v>
      </c>
      <c r="F5" s="6" t="s">
        <v>91</v>
      </c>
    </row>
    <row r="6" spans="1:6" x14ac:dyDescent="0.25">
      <c r="A6" t="s">
        <v>51</v>
      </c>
      <c r="B6" s="18">
        <v>1296000000</v>
      </c>
      <c r="C6" s="18">
        <v>1617000000</v>
      </c>
      <c r="D6" s="18">
        <v>3130000000</v>
      </c>
      <c r="E6" s="18">
        <v>2313000000</v>
      </c>
      <c r="F6" s="6" t="s">
        <v>92</v>
      </c>
    </row>
    <row r="7" spans="1:6" x14ac:dyDescent="0.25">
      <c r="A7" t="s">
        <v>93</v>
      </c>
      <c r="B7" s="18">
        <v>703000000</v>
      </c>
      <c r="C7" s="18">
        <v>468000000</v>
      </c>
      <c r="D7" s="18">
        <v>451000000</v>
      </c>
      <c r="E7" s="18">
        <v>408000000</v>
      </c>
      <c r="F7" s="6" t="s">
        <v>94</v>
      </c>
    </row>
    <row r="8" spans="1:6" x14ac:dyDescent="0.25">
      <c r="A8" t="s">
        <v>95</v>
      </c>
      <c r="B8" s="18">
        <v>1723000000</v>
      </c>
      <c r="C8" s="18">
        <v>1376000000</v>
      </c>
      <c r="D8" s="18">
        <v>1122000000</v>
      </c>
      <c r="E8" s="18">
        <v>555000000</v>
      </c>
      <c r="F8" s="6" t="s">
        <v>96</v>
      </c>
    </row>
    <row r="9" spans="1:6" x14ac:dyDescent="0.25">
      <c r="A9" t="s">
        <v>97</v>
      </c>
      <c r="B9" s="18">
        <v>502000000</v>
      </c>
      <c r="C9" s="18">
        <v>-95000000</v>
      </c>
      <c r="D9" s="18">
        <v>-673000000</v>
      </c>
      <c r="E9" s="18">
        <v>7627000000</v>
      </c>
      <c r="F9" s="6" t="s">
        <v>98</v>
      </c>
    </row>
    <row r="10" spans="1:6" x14ac:dyDescent="0.25">
      <c r="A10" t="s">
        <v>99</v>
      </c>
      <c r="B10" s="18">
        <v>15855000000</v>
      </c>
      <c r="C10" s="18">
        <v>7119000000</v>
      </c>
      <c r="D10" s="18">
        <v>5756000000</v>
      </c>
      <c r="E10" s="18">
        <v>5623000000</v>
      </c>
      <c r="F10" s="6" t="s">
        <v>100</v>
      </c>
    </row>
    <row r="11" spans="1:6" x14ac:dyDescent="0.25">
      <c r="A11" t="s">
        <v>101</v>
      </c>
      <c r="B11" s="18">
        <v>2204000000</v>
      </c>
      <c r="C11" s="18">
        <v>3795000000</v>
      </c>
      <c r="D11" s="18">
        <v>2707000000</v>
      </c>
      <c r="E11" s="18">
        <v>1223000000</v>
      </c>
      <c r="F11" s="6" t="s">
        <v>102</v>
      </c>
    </row>
    <row r="12" spans="1:6" x14ac:dyDescent="0.25">
      <c r="A12" t="s">
        <v>34</v>
      </c>
      <c r="B12" s="34">
        <v>166466940</v>
      </c>
      <c r="C12" s="34">
        <v>142000000</v>
      </c>
      <c r="D12" s="34">
        <v>150787917</v>
      </c>
      <c r="E12" s="34">
        <v>153000000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