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<sst xmlns="http://schemas.openxmlformats.org/spreadsheetml/2006/main" count="113" uniqueCount="101">
  <si>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Bega Cheese Limited (BGA.AX)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</si>
  <si>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</si>
  <si>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</si>
  <si>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</si>
  <si>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</si>
  <si>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</si>
  <si>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</si>
  <si>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</si>
  <si>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</si>
  <si>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</si>
  <si>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</si>
  <si>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</si>
  <si>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</si>
  <si>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</si>
  <si>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</si>
  <si>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</si>
  <si>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</si>
  <si>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</si>
  <si>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</si>
  <si>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</si>
  <si>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</si>
  <si>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</si>
  <si>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</si>
  <si>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</si>
  <si>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</si>
  <si>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</si>
  <si>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</si>
  <si>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</si>
  <si>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</si>
  <si>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</si>
  <si>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</si>
  <si>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</si>
  <si>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</si>
  <si>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</si>
  <si>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</si>
  <si>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</si>
  <si>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</si>
  <si>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</si>
  <si>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</si>
  <si>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</si>
  <si>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</si>
  <si>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</si>
  <si>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</si>
  <si>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</si>
  <si>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</si>
  <si>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</si>
  <si>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</si>
  <si>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</si>
  <si>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</si>
  <si>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</si>
  <si>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</si>
  <si>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</si>
  <si>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</si>
  <si>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</si>
  <si>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</si>
  <si>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</si>
  <si>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</si>
  <si>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</si>
  <si>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</si>
  <si>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</si>
  <si>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</si>
  <si>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</si>
  <si>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</si>
  <si>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</si>
  <si>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</si>
  <si>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</si>
  <si>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</si>
  <si>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</si>
  <si>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</si>
  <si>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</si>
  <si>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</si>
  <si>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</si>
  <si>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</si>
  <si>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</si>
  <si>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</si>
  <si>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</si>
  <si>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</si>
  <si>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</si>
  <si>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</si>
  <si>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</si>
  <si>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</si>
  <si>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</si>
  <si>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</si>
  <si>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</si>
  <si>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</si>
  <si>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</si>
  <si>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</si>
  <si>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</si>
  <si>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</si>
  <si>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</si>
  <si>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</si>
  <si>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</si>
  <si>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</si>
  <si>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</si>
  <si>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</si>
  <si>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</si>
  <si>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</si>
  <si>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</si>
  <si>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</si>
  <si>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Current EV/EBITDA of 20.2x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</si>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</sst>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0.03775333232774014</v>
      </c>
    </row>
    <row r="7" spans="1:2" x14ac:dyDescent="0.25">
      <c r="A7" t="s">
        <v>5</v>
      </c>
      <c r="B7" s="6">
        <v>-0.009282032635028685</v>
      </c>
    </row>
    <row r="8" spans="1:2" x14ac:dyDescent="0.25">
      <c r="A8" t="s">
        <v>6</v>
      </c>
      <c r="B8" s="6">
        <v>0.2500336353790371</v>
      </c>
    </row>
    <row r="9" spans="1:2" x14ac:dyDescent="0.25">
      <c r="A9" t="s">
        <v>7</v>
      </c>
      <c r="B9" s="6">
        <v>0.026337397172012326</v>
      </c>
    </row>
    <row r="10" spans="1:2" x14ac:dyDescent="0.25">
      <c r="A10" t="s">
        <v>8</v>
      </c>
      <c r="B10" s="6">
        <v>0.024203830380219536</v>
      </c>
    </row>
    <row r="11" spans="1:2" x14ac:dyDescent="0.25">
      <c r="A11" t="s">
        <v>9</v>
      </c>
      <c r="B11" s="6">
        <v>-0.14452054794520547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0.08622594655080348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0.74339</v>
      </c>
      <c r="C19" s="8" t="s">
        <v>19</v>
      </c>
    </row>
    <row r="20" spans="1:2" x14ac:dyDescent="0.25">
      <c r="A20" t="s">
        <v>20</v>
      </c>
      <c r="B20" s="10">
        <f>B17+B19*B18</f>
        <v>0.0980834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1833437952</v>
      </c>
    </row>
    <row r="23" spans="1:2" x14ac:dyDescent="0.25">
      <c r="A23" t="s">
        <v>24</v>
      </c>
      <c r="B23" s="11">
        <v>471400000</v>
      </c>
    </row>
    <row r="24" spans="1:2" x14ac:dyDescent="0.25">
      <c r="A24" t="s">
        <v>25</v>
      </c>
      <c r="B24" s="10">
        <f>B22/(B22+B23)</f>
        <v>0.7954736906380132</v>
      </c>
    </row>
    <row r="25" spans="1:2" x14ac:dyDescent="0.25">
      <c r="A25" t="s">
        <v>26</v>
      </c>
      <c r="B25" s="10">
        <f>1-B24</f>
        <v>0.2045263093619868</v>
      </c>
    </row>
    <row r="26" spans="1:2" x14ac:dyDescent="0.25">
      <c r="A26" t="s">
        <v>27</v>
      </c>
      <c r="B26" s="12">
        <f>B24*B20+B25*B21*(1-B8)</f>
        <v>0.08622594655080348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3785500000</v>
      </c>
      <c r="C29" s="8" t="s">
        <v>30</v>
      </c>
    </row>
    <row r="30" spans="1:2" x14ac:dyDescent="0.25">
      <c r="A30" t="s">
        <v>31</v>
      </c>
      <c r="B30" s="11">
        <v>338000000</v>
      </c>
    </row>
    <row r="31" spans="1:2" x14ac:dyDescent="0.25">
      <c r="A31" t="s">
        <v>32</v>
      </c>
      <c r="B31" s="13">
        <v>307865169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0.03775333232774014</v>
      </c>
      <c r="C5" s="10">
        <f>Assumptions!B6</f>
        <v>0.03775333232774014</v>
      </c>
      <c r="D5" s="10">
        <f>Assumptions!B6</f>
        <v>0.03775333232774014</v>
      </c>
      <c r="E5" s="10">
        <f>Assumptions!B6</f>
        <v>0.03775333232774014</v>
      </c>
      <c r="F5" s="10">
        <f>Assumptions!B6</f>
        <v>0.03775333232774014</v>
      </c>
    </row>
    <row r="6" spans="1:6" x14ac:dyDescent="0.25">
      <c r="A6" t="s">
        <v>43</v>
      </c>
      <c r="B6" s="18">
        <f>Assumptions!B29*(1+B5)</f>
        <v>3928415239.5266604</v>
      </c>
      <c r="C6" s="18">
        <f>B6*(1+C5)</f>
        <v>4076726005.5858693</v>
      </c>
      <c r="D6" s="18">
        <f>C6*(1+D5)</f>
        <v>4230635997.283893</v>
      </c>
      <c r="E6" s="18">
        <f>D6*(1+E5)</f>
        <v>4390356604.047052</v>
      </c>
      <c r="F6" s="18">
        <f>E6*(1+F5)</f>
        <v>4556107195.956929</v>
      </c>
    </row>
    <row r="7" spans="1:6" x14ac:dyDescent="0.25">
      <c r="A7" t="s">
        <v>5</v>
      </c>
      <c r="B7" s="10">
        <f>Assumptions!B7</f>
        <v>-0.009282032635028685</v>
      </c>
      <c r="C7" s="10">
        <f>Assumptions!B7</f>
        <v>-0.009282032635028685</v>
      </c>
      <c r="D7" s="10">
        <f>Assumptions!B7</f>
        <v>-0.009282032635028685</v>
      </c>
      <c r="E7" s="10">
        <f>Assumptions!B7</f>
        <v>-0.009282032635028685</v>
      </c>
      <c r="F7" s="10">
        <f>Assumptions!B7</f>
        <v>-0.009282032635028685</v>
      </c>
    </row>
    <row r="8" spans="1:6" x14ac:dyDescent="0.25">
      <c r="A8" t="s">
        <v>44</v>
      </c>
      <c r="B8" s="18">
        <f>B6*B7</f>
        <v>-36463678.45723049</v>
      </c>
      <c r="C8" s="18">
        <f>C6*C7</f>
        <v>-37840303.82791817</v>
      </c>
      <c r="D8" s="18">
        <f>D6*D7</f>
        <v>-39268901.39371622</v>
      </c>
      <c r="E8" s="18">
        <f>E6*E7</f>
        <v>-40751433.27817845</v>
      </c>
      <c r="F8" s="18">
        <f>F6*F7</f>
        <v>-42289935.68156125</v>
      </c>
    </row>
    <row r="9" spans="1:6" x14ac:dyDescent="0.25">
      <c r="A9" t="s">
        <v>45</v>
      </c>
      <c r="B9" s="18">
        <f>B8*(1-Assumptions!B8)</f>
        <v>-27346532.373276874</v>
      </c>
      <c r="C9" s="18">
        <f>C8*(1-Assumptions!B8)</f>
        <v>-28378955.0979765</v>
      </c>
      <c r="D9" s="18">
        <f>D8*(1-Assumptions!B8)</f>
        <v>-29450355.220904417</v>
      </c>
      <c r="E9" s="18">
        <f>E8*(1-Assumptions!B8)</f>
        <v>-30562204.268729225</v>
      </c>
      <c r="F9" s="18">
        <f>F8*(1-Assumptions!B8)</f>
        <v>-31716029.32315483</v>
      </c>
    </row>
    <row r="10" spans="1:6" x14ac:dyDescent="0.25">
      <c r="A10" t="s">
        <v>46</v>
      </c>
      <c r="B10" s="18">
        <f>B6*Assumptions!B9</f>
        <v>103464232.4199996</v>
      </c>
      <c r="C10" s="18">
        <f>C6*Assumptions!B9</f>
        <v>107370351.97058639</v>
      </c>
      <c r="D10" s="18">
        <f>D6*Assumptions!B9</f>
        <v>111423940.55067836</v>
      </c>
      <c r="E10" s="18">
        <f>E6*Assumptions!B9</f>
        <v>115630565.60755448</v>
      </c>
      <c r="F10" s="18">
        <f>F6*Assumptions!B9</f>
        <v>119996004.77818103</v>
      </c>
    </row>
    <row r="11" spans="1:6" x14ac:dyDescent="0.25">
      <c r="A11" t="s">
        <v>47</v>
      </c>
      <c r="B11" s="18">
        <f>-B6*Assumptions!B10</f>
        <v>-95082696.12057279</v>
      </c>
      <c r="C11" s="18">
        <f>-C6*Assumptions!B10</f>
        <v>-98672384.7458303</v>
      </c>
      <c r="D11" s="18">
        <f>-D6*Assumptions!B10</f>
        <v>-102397596.07871026</v>
      </c>
      <c r="E11" s="18">
        <f>-E6*Assumptions!B10</f>
        <v>-106263446.55303152</v>
      </c>
      <c r="F11" s="18">
        <f>-F6*Assumptions!B10</f>
        <v>-110275245.76503916</v>
      </c>
    </row>
    <row r="12" spans="1:6" x14ac:dyDescent="0.25">
      <c r="A12" t="s">
        <v>48</v>
      </c>
      <c r="B12" s="18">
        <f>-(B6-Assumptions!B29)*Assumptions!B11</f>
        <v>20654188.726113252</v>
      </c>
      <c r="C12" s="18">
        <f>-(C6-B6)*Assumptions!B11</f>
        <v>21433953.177050047</v>
      </c>
      <c r="D12" s="18">
        <f>-(D6-C6)*Assumptions!B11</f>
        <v>22243156.334440425</v>
      </c>
      <c r="E12" s="18">
        <f>-(E6-D6)*Assumptions!B11</f>
        <v>23082909.60755247</v>
      </c>
      <c r="F12" s="18">
        <f>-(F6-E6)*Assumptions!B11</f>
        <v>23954366.36505754</v>
      </c>
    </row>
    <row r="13" spans="1:6" x14ac:dyDescent="0.25">
      <c r="A13" s="19" t="s">
        <v>49</v>
      </c>
      <c r="B13" s="20">
        <f>B9+B10+B11+B12</f>
        <v>1689192.6522631869</v>
      </c>
      <c r="C13" s="20">
        <f>C9+C10+C11+C12</f>
        <v>1752965.3038296327</v>
      </c>
      <c r="D13" s="20">
        <f>D9+D10+D11+D12</f>
        <v>1819145.5855040997</v>
      </c>
      <c r="E13" s="20">
        <f>E9+E10+E11+E12</f>
        <v>1887824.3933462054</v>
      </c>
      <c r="F13" s="20">
        <f>F9+F10+F11+F12</f>
        <v>1959096.0550445877</v>
      </c>
    </row>
    <row r="14" spans="1:6" x14ac:dyDescent="0.25">
      <c r="A14" t="s">
        <v>50</v>
      </c>
      <c r="B14" s="21">
        <f>1/(1+Assumptions!$B$26)^(1-0.5*Assumptions!$B$32)</f>
        <v>0.959488809072806</v>
      </c>
      <c r="C14" s="21">
        <f>1/(1+Assumptions!$B$26)^(2-0.5*Assumptions!$B$32)</f>
        <v>0.8833234117814641</v>
      </c>
      <c r="D14" s="21">
        <f>1/(1+Assumptions!$B$26)^(3-0.5*Assumptions!$B$32)</f>
        <v>0.8132041170498319</v>
      </c>
      <c r="E14" s="21">
        <f>1/(1+Assumptions!$B$26)^(4-0.5*Assumptions!$B$32)</f>
        <v>0.7486509778486476</v>
      </c>
      <c r="F14" s="21">
        <f>1/(1+Assumptions!$B$26)^(5-0.5*Assumptions!$B$32)</f>
        <v>0.689222145931894</v>
      </c>
    </row>
    <row r="15" spans="1:6" x14ac:dyDescent="0.25">
      <c r="A15" s="19" t="s">
        <v>51</v>
      </c>
      <c r="B15" s="20">
        <f>B13*B14</f>
        <v>1620761.4462145397</v>
      </c>
      <c r="C15" s="20">
        <f>C13*C14</f>
        <v>1548435.292913322</v>
      </c>
      <c r="D15" s="20">
        <f>D13*D14</f>
        <v>1479336.679644961</v>
      </c>
      <c r="E15" s="20">
        <f>E13*E14</f>
        <v>1413321.5780851666</v>
      </c>
      <c r="F15" s="20">
        <f>F13*F14</f>
        <v>1350252.3871445388</v>
      </c>
    </row>
    <row r="17" spans="1:2" x14ac:dyDescent="0.25">
      <c r="A17" s="22" t="s">
        <v>52</v>
      </c>
      <c r="B17" s="23">
        <f>SUM(B15:F15)</f>
        <v>7412107.384002527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1959096.0550445877</v>
      </c>
    </row>
    <row r="5" spans="1:2" x14ac:dyDescent="0.25">
      <c r="A5" t="s">
        <v>56</v>
      </c>
      <c r="B5" s="18">
        <f>IF(Assumptions!$B$33=0,B4,B4-Forecast!F11-Forecast!F10-Forecast!F12)</f>
        <v>-31716029.32315483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0.2899359299612936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7412107.384002527</v>
      </c>
    </row>
    <row r="12" spans="1:2" x14ac:dyDescent="0.25">
      <c r="A12" t="s">
        <v>63</v>
      </c>
      <c r="B12" s="18">
        <f>-Assumptions!B30</f>
        <v>-338000000</v>
      </c>
    </row>
    <row r="13" spans="1:2" x14ac:dyDescent="0.25">
      <c r="A13" t="s">
        <v>64</v>
      </c>
      <c r="B13" s="18">
        <f>B11+B12</f>
        <v>-330587892.6159975</v>
      </c>
    </row>
    <row r="14" spans="1:2" x14ac:dyDescent="0.25">
      <c r="A14" s="19" t="s">
        <v>65</v>
      </c>
      <c r="B14" s="24">
        <f>B13/Assumptions!B31</f>
        <v>-1.0738073868174334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77706069.09661978</v>
      </c>
    </row>
    <row r="18" spans="1:2" x14ac:dyDescent="0.25">
      <c r="A18" t="s">
        <v>60</v>
      </c>
      <c r="B18" s="18">
        <f>B17*Assumptions!B13</f>
        <v>1554121381.9323957</v>
      </c>
    </row>
    <row r="19" spans="1:2" x14ac:dyDescent="0.25">
      <c r="A19" t="s">
        <v>61</v>
      </c>
      <c r="B19" s="18">
        <f>B18/(1+Assumptions!B26)^(5-0.5*Assumptions!B32)</f>
        <v>1071134873.8940865</v>
      </c>
    </row>
    <row r="20" spans="1:2" x14ac:dyDescent="0.25">
      <c r="A20" t="s">
        <v>62</v>
      </c>
      <c r="B20" s="18">
        <f>Forecast!B17+B19</f>
        <v>1078546981.278089</v>
      </c>
    </row>
    <row r="21" spans="1:2" x14ac:dyDescent="0.25">
      <c r="A21" t="s">
        <v>63</v>
      </c>
      <c r="B21" s="18">
        <f>-Assumptions!B30</f>
        <v>-338000000</v>
      </c>
    </row>
    <row r="22" spans="1:2" x14ac:dyDescent="0.25">
      <c r="A22" t="s">
        <v>64</v>
      </c>
      <c r="B22" s="18">
        <f>B20+B21</f>
        <v>740546981.278089</v>
      </c>
    </row>
    <row r="23" spans="1:2" x14ac:dyDescent="0.25">
      <c r="A23" s="19" t="s">
        <v>65</v>
      </c>
      <c r="B23" s="25">
        <f>B22/Assumptions!B31</f>
        <v>2.4054263224499066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-1.0738073868174334</v>
      </c>
    </row>
    <row r="29" spans="1:2" x14ac:dyDescent="0.25">
      <c r="A29" s="19" t="s">
        <v>73</v>
      </c>
      <c r="B29" s="12">
        <f>B28/B26-1</f>
        <v>-1.1789678978029055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0.066226</v>
      </c>
      <c r="B5" s="31">
        <v>-1.0726964757351027</v>
      </c>
      <c r="C5" s="31">
        <v>-1.0726964757351027</v>
      </c>
      <c r="D5" s="31">
        <v>-1.0726964757351027</v>
      </c>
      <c r="E5" s="31">
        <v>-1.0726964757351027</v>
      </c>
      <c r="F5" s="31">
        <v>-1.0726964757351027</v>
      </c>
    </row>
    <row r="6" spans="1:6" x14ac:dyDescent="0.25">
      <c r="A6" s="30">
        <v>0.076226</v>
      </c>
      <c r="B6" s="31">
        <v>-1.0732628988838306</v>
      </c>
      <c r="C6" s="31">
        <v>-1.0732628988838306</v>
      </c>
      <c r="D6" s="31">
        <v>-1.0732628988838306</v>
      </c>
      <c r="E6" s="31">
        <v>-1.0732628988838306</v>
      </c>
      <c r="F6" s="31">
        <v>-1.0732628988838306</v>
      </c>
    </row>
    <row r="7" spans="1:6" x14ac:dyDescent="0.25">
      <c r="A7" s="30">
        <v>0.086226</v>
      </c>
      <c r="B7" s="31">
        <v>-1.0738073896710738</v>
      </c>
      <c r="C7" s="31">
        <v>-1.0738073896710738</v>
      </c>
      <c r="D7" s="32">
        <v>-1.0738073896710738</v>
      </c>
      <c r="E7" s="31">
        <v>-1.0738073896710738</v>
      </c>
      <c r="F7" s="31">
        <v>-1.0738073896710738</v>
      </c>
    </row>
    <row r="8" spans="1:6" x14ac:dyDescent="0.25">
      <c r="A8" s="30">
        <v>0.096226</v>
      </c>
      <c r="B8" s="31">
        <v>-1.0743310502098902</v>
      </c>
      <c r="C8" s="31">
        <v>-1.0743310502098902</v>
      </c>
      <c r="D8" s="31">
        <v>-1.0743310502098902</v>
      </c>
      <c r="E8" s="31">
        <v>-1.0743310502098902</v>
      </c>
      <c r="F8" s="31">
        <v>-1.0743310502098902</v>
      </c>
    </row>
    <row r="9" spans="1:6" x14ac:dyDescent="0.25">
      <c r="A9" s="30">
        <v>0.106226</v>
      </c>
      <c r="B9" s="31">
        <v>-1.0748349161100759</v>
      </c>
      <c r="C9" s="31">
        <v>-1.0748349161100759</v>
      </c>
      <c r="D9" s="31">
        <v>-1.0748349161100759</v>
      </c>
      <c r="E9" s="31">
        <v>-1.0748349161100759</v>
      </c>
      <c r="F9" s="31">
        <v>-1.0748349161100759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3785500000</v>
      </c>
      <c r="C5" s="18">
        <v>3550100000</v>
      </c>
      <c r="D5" s="18">
        <v>3533200000</v>
      </c>
      <c r="E5" s="18">
        <v>3387200000</v>
      </c>
      <c r="F5" s="8" t="s">
        <v>84</v>
      </c>
    </row>
    <row r="6" spans="1:6" x14ac:dyDescent="0.25">
      <c r="A6" t="s">
        <v>44</v>
      </c>
      <c r="B6" s="18">
        <v>13800000</v>
      </c>
      <c r="C6" s="18">
        <v>-21700000</v>
      </c>
      <c r="D6" s="18">
        <v>-36200000</v>
      </c>
      <c r="E6" s="18">
        <v>-82700000</v>
      </c>
      <c r="F6" s="8" t="s">
        <v>85</v>
      </c>
    </row>
    <row r="7" spans="1:6" x14ac:dyDescent="0.25">
      <c r="A7" t="s">
        <v>86</v>
      </c>
      <c r="B7" s="18">
        <v>93600000</v>
      </c>
      <c r="C7" s="18">
        <v>90900000</v>
      </c>
      <c r="D7" s="18">
        <v>88100000</v>
      </c>
      <c r="E7" s="18">
        <v>101900000</v>
      </c>
      <c r="F7" s="8" t="s">
        <v>87</v>
      </c>
    </row>
    <row r="8" spans="1:6" x14ac:dyDescent="0.25">
      <c r="A8" t="s">
        <v>88</v>
      </c>
      <c r="B8" s="18">
        <v>109800000</v>
      </c>
      <c r="C8" s="18">
        <v>94400000</v>
      </c>
      <c r="D8" s="18">
        <v>74600000</v>
      </c>
      <c r="E8" s="18">
        <v>68100000</v>
      </c>
      <c r="F8" s="8" t="s">
        <v>89</v>
      </c>
    </row>
    <row r="9" spans="1:6" x14ac:dyDescent="0.25">
      <c r="A9" t="s">
        <v>90</v>
      </c>
      <c r="B9" s="18">
        <v>37600000</v>
      </c>
      <c r="C9" s="18">
        <v>-141500000</v>
      </c>
      <c r="D9" s="18">
        <v>-21100000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471400000</v>
      </c>
      <c r="C10" s="18">
        <v>439600000</v>
      </c>
      <c r="D10" s="18">
        <v>418900000</v>
      </c>
      <c r="E10" s="18">
        <v>467100000</v>
      </c>
      <c r="F10" s="8" t="s">
        <v>93</v>
      </c>
    </row>
    <row r="11" spans="1:6" x14ac:dyDescent="0.25">
      <c r="A11" t="s">
        <v>94</v>
      </c>
      <c r="B11" s="18">
        <v>133400000</v>
      </c>
      <c r="C11" s="18">
        <v>120900000</v>
      </c>
      <c r="D11" s="18">
        <v>65600000</v>
      </c>
      <c r="E11" s="18">
        <v>66400000</v>
      </c>
      <c r="F11" s="8" t="s">
        <v>95</v>
      </c>
    </row>
    <row r="12" spans="1:6" x14ac:dyDescent="0.25">
      <c r="A12" t="s">
        <v>32</v>
      </c>
      <c r="B12" s="34">
        <v>307865169</v>
      </c>
      <c r="C12" s="34">
        <v>304967613</v>
      </c>
      <c r="D12" s="34">
        <v>308080808</v>
      </c>
      <c r="E12" s="34">
        <v>303851779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2026-09-19T01:04:46Z</dcterms:modified>
</cp:coreProperties>
</file>