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<sst xmlns="http://schemas.openxmlformats.org/spreadsheetml/2006/main" count="117" uniqueCount="104">
  <si>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Lion Finance Group PLC (BGEO.L)</t>
  </si>
  <si>
    <t>DCF Studio - Base case</t>
  </si>
  <si>
    <t>Blue figures on a cream fill are inputs. Every other figure is a formula - change an input and the model reprices. Currency figures are GEL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</si>
  <si>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</si>
  <si>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</si>
  <si>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</si>
  <si>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</si>
  <si>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</si>
  <si>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</si>
  <si>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</si>
  <si>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</si>
  <si>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</si>
  <si>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</si>
  <si>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</si>
  <si>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</si>
  <si>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</si>
  <si>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</si>
  <si>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</si>
  <si>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</si>
  <si>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</si>
  <si>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</si>
  <si>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</si>
  <si>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30.4% is not a credible funding cost, so risk-free + 2bp is assumed instead. Interest expense and reported debt are measuring different things - common for banks, whose interest expense includes deposits that total debt excludes.</t>
  </si>
  <si>
    <t>Market capitalisation (GEL m)</t>
  </si>
  <si>
    <t>Total debt (GEL m)</t>
  </si>
  <si>
    <t>Equity weight</t>
  </si>
  <si>
    <t>Debt weight</t>
  </si>
  <si>
    <t>WACC</t>
  </si>
  <si>
    <t>Base year</t>
  </si>
  <si>
    <t>Revenue, last reported year (GEL m)</t>
  </si>
  <si>
    <t>Fiscal year ended 2025-12-31</t>
  </si>
  <si>
    <t>Net debt (GEL m)</t>
  </si>
  <si>
    <t>Diluted shares</t>
  </si>
  <si>
    <t>Mid-year discounting (1 = yes, 0 = no)</t>
  </si>
  <si>
    <t>Terminal year on a steady-state footing (1 = yes, 0 = no)</t>
  </si>
  <si>
    <t>Forecast cashflows (GEL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</si>
  <si>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</si>
  <si>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</si>
  <si>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</si>
  <si>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</si>
  <si>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</si>
  <si>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</si>
  <si>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</si>
  <si>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</si>
  <si>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</si>
  <si>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</si>
  <si>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</si>
  <si>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</si>
  <si>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</si>
  <si>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</si>
  <si>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</si>
  <si>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</si>
  <si>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</si>
  <si>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(GEL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</si>
  <si>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</si>
  <si>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</si>
  <si>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</si>
  <si>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</si>
  <si>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</si>
  <si>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</si>
  <si>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</si>
  <si>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</si>
  <si>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</si>
  <si>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</si>
  <si>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</si>
  <si>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</si>
  <si>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</si>
  <si>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</si>
  <si>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</si>
  <si>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</si>
  <si>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GEL to GBp</t>
  </si>
  <si>
    <t>GEL/GBP at 1.0000, then x100, because GBp is a sub-unit of GBP</t>
  </si>
  <si>
    <t>Value per share (GBp)</t>
  </si>
  <si>
    <t>Implied upside</t>
  </si>
  <si>
    <t>Value per share (GEL)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</si>
  <si>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</si>
  <si>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(GEL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</si>
  <si>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</si>
  <si>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</si>
  <si>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</si>
  <si>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</si>
  <si>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</si>
  <si>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</si>
  <si>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</si>
  <si>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</si>
  <si>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</si>
  <si>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</si>
  <si>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</si>
  <si>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</si>
  <si>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</si>
  <si>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</si>
  <si>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</si>
  <si>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</si>
  <si>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</si>
  <si>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</si>
  <si>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</si>
  <si>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</si>
  <si>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</si>
  <si>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26.6x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</si>
  <si>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</si>
  <si>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Reports in GEL, trades in GBp. Modelled in GEL, converted at the end.</t>
  </si>
  <si>
    <t>Note: Risk-free rate is an assumption: GBP assumption - no free live source available for this market.</t>
  </si>
  <si>
    <t>Current EV/EBITDA of 2.4x sits outside a defensible 3-20x band, so the exit multiple is capped at 3.0x.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</si>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</sst>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0.2889951584440631</v>
      </c>
    </row>
    <row r="7" spans="1:2" x14ac:dyDescent="0.25">
      <c r="A7" t="s">
        <v>5</v>
      </c>
      <c r="B7" s="6">
        <v>0.710471640683102</v>
      </c>
    </row>
    <row r="8" spans="1:2" x14ac:dyDescent="0.25">
      <c r="A8" t="s">
        <v>6</v>
      </c>
      <c r="B8" s="6">
        <v>0.14187097810681887</v>
      </c>
    </row>
    <row r="9" spans="1:2" x14ac:dyDescent="0.25">
      <c r="A9" t="s">
        <v>7</v>
      </c>
      <c r="B9" s="6">
        <v>0.05072136311097459</v>
      </c>
    </row>
    <row r="10" spans="1:2" x14ac:dyDescent="0.25">
      <c r="A10" t="s">
        <v>8</v>
      </c>
      <c r="B10" s="6">
        <v>0.0627169082600777</v>
      </c>
    </row>
    <row r="11" spans="1:2" x14ac:dyDescent="0.25">
      <c r="A11" t="s">
        <v>9</v>
      </c>
      <c r="B11" s="6">
        <v>-0.022350092370878226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0.1798743057732317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0.84389</v>
      </c>
      <c r="C19" s="8" t="s">
        <v>19</v>
      </c>
    </row>
    <row r="20" spans="1:2" x14ac:dyDescent="0.25">
      <c r="A20" t="s">
        <v>20</v>
      </c>
      <c r="B20" s="10">
        <f>B17+B19*B18</f>
        <v>0.09141395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5897644032</v>
      </c>
    </row>
    <row r="23" spans="1:2" x14ac:dyDescent="0.25">
      <c r="A23" t="s">
        <v>24</v>
      </c>
      <c r="B23" s="11">
        <v>8609208000</v>
      </c>
    </row>
    <row r="24" spans="1:2" x14ac:dyDescent="0.25">
      <c r="A24" t="s">
        <v>25</v>
      </c>
      <c r="B24" s="10">
        <f>B22/(B22+B23)</f>
        <v>0.40654195817194916</v>
      </c>
    </row>
    <row r="25" spans="1:2" x14ac:dyDescent="0.25">
      <c r="A25" t="s">
        <v>26</v>
      </c>
      <c r="B25" s="10">
        <f>1-B24</f>
        <v>0.5934580418280508</v>
      </c>
    </row>
    <row r="26" spans="1:2" x14ac:dyDescent="0.25">
      <c r="A26" t="s">
        <v>27</v>
      </c>
      <c r="B26" s="12">
        <f>B24*B20+B25*B21*(1-B8)</f>
        <v>0.07026573822018826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4344275000</v>
      </c>
      <c r="C29" s="8" t="s">
        <v>30</v>
      </c>
    </row>
    <row r="30" spans="1:2" x14ac:dyDescent="0.25">
      <c r="A30" t="s">
        <v>31</v>
      </c>
      <c r="B30" s="11">
        <v>887346000</v>
      </c>
    </row>
    <row r="31" spans="1:2" x14ac:dyDescent="0.25">
      <c r="A31" t="s">
        <v>32</v>
      </c>
      <c r="B31" s="13">
        <v>43645578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0.2889951584440631</v>
      </c>
      <c r="C5" s="10">
        <f>Assumptions!B6</f>
        <v>0.2889951584440631</v>
      </c>
      <c r="D5" s="10">
        <f>Assumptions!B6</f>
        <v>0.2889951584440631</v>
      </c>
      <c r="E5" s="10">
        <f>Assumptions!B6</f>
        <v>0.2889951584440631</v>
      </c>
      <c r="F5" s="10">
        <f>Assumptions!B6</f>
        <v>0.2889951584440631</v>
      </c>
    </row>
    <row r="6" spans="1:6" x14ac:dyDescent="0.25">
      <c r="A6" t="s">
        <v>43</v>
      </c>
      <c r="B6" s="18">
        <f>Assumptions!B29*(1+B5)</f>
        <v>5599749441.949582</v>
      </c>
      <c r="C6" s="18">
        <f>B6*(1+C5)</f>
        <v>7218049919.172855</v>
      </c>
      <c r="D6" s="18">
        <f>C6*(1+D5)</f>
        <v>9304031399.22137</v>
      </c>
      <c r="E6" s="18">
        <f>D6*(1+E5)</f>
        <v>11992851427.60789</v>
      </c>
      <c r="F6" s="18">
        <f>E6*(1+F5)</f>
        <v>15458727426.12554</v>
      </c>
    </row>
    <row r="7" spans="1:6" x14ac:dyDescent="0.25">
      <c r="A7" t="s">
        <v>5</v>
      </c>
      <c r="B7" s="10">
        <f>Assumptions!B7</f>
        <v>0.710471640683102</v>
      </c>
      <c r="C7" s="10">
        <f>Assumptions!B7</f>
        <v>0.710471640683102</v>
      </c>
      <c r="D7" s="10">
        <f>Assumptions!B7</f>
        <v>0.710471640683102</v>
      </c>
      <c r="E7" s="10">
        <f>Assumptions!B7</f>
        <v>0.710471640683102</v>
      </c>
      <c r="F7" s="10">
        <f>Assumptions!B7</f>
        <v>0.710471640683102</v>
      </c>
    </row>
    <row r="8" spans="1:6" x14ac:dyDescent="0.25">
      <c r="A8" t="s">
        <v>44</v>
      </c>
      <c r="B8" s="18">
        <f>B6*B7</f>
        <v>3978463173.4362044</v>
      </c>
      <c r="C8" s="18">
        <f>C6*C7</f>
        <v>5128219768.60727</v>
      </c>
      <c r="D8" s="18">
        <f>D6*D7</f>
        <v>6610250453.171905</v>
      </c>
      <c r="E8" s="18">
        <f>E6*E7</f>
        <v>8520580830.241259</v>
      </c>
      <c r="F8" s="18">
        <f>F6*F7</f>
        <v>10982987437.312279</v>
      </c>
    </row>
    <row r="9" spans="1:6" x14ac:dyDescent="0.25">
      <c r="A9" t="s">
        <v>45</v>
      </c>
      <c r="B9" s="18">
        <f>B8*(1-Assumptions!B8)</f>
        <v>3414034711.6588516</v>
      </c>
      <c r="C9" s="18">
        <f>C8*(1-Assumptions!B8)</f>
        <v>4400674214.088233</v>
      </c>
      <c r="D9" s="18">
        <f>D8*(1-Assumptions!B8)</f>
        <v>5672447755.849364</v>
      </c>
      <c r="E9" s="18">
        <f>E8*(1-Assumptions!B8)</f>
        <v>7311757693.816721</v>
      </c>
      <c r="F9" s="18">
        <f>F8*(1-Assumptions!B8)</f>
        <v>9424820267.045883</v>
      </c>
    </row>
    <row r="10" spans="1:6" x14ac:dyDescent="0.25">
      <c r="A10" t="s">
        <v>46</v>
      </c>
      <c r="B10" s="18">
        <f>B6*Assumptions!B9</f>
        <v>284026924.7756021</v>
      </c>
      <c r="C10" s="18">
        <f>C6*Assumptions!B9</f>
        <v>366109330.9035072</v>
      </c>
      <c r="D10" s="18">
        <f>D6*Assumptions!B9</f>
        <v>471913154.9958161</v>
      </c>
      <c r="E10" s="18">
        <f>E6*Assumptions!B9</f>
        <v>608293771.9956697</v>
      </c>
      <c r="F10" s="18">
        <f>F6*Assumptions!B9</f>
        <v>784087727.0140951</v>
      </c>
    </row>
    <row r="11" spans="1:6" x14ac:dyDescent="0.25">
      <c r="A11" t="s">
        <v>47</v>
      </c>
      <c r="B11" s="18">
        <f>-B6*Assumptions!B10</f>
        <v>-351198972.03017324</v>
      </c>
      <c r="C11" s="18">
        <f>-C6*Assumptions!B10</f>
        <v>-452693774.5974252</v>
      </c>
      <c r="D11" s="18">
        <f>-D6*Assumptions!B10</f>
        <v>-583520083.7138491</v>
      </c>
      <c r="E11" s="18">
        <f>-E6*Assumptions!B10</f>
        <v>-752154562.7620258</v>
      </c>
      <c r="F11" s="18">
        <f>-F6*Assumptions!B10</f>
        <v>-969523589.8018625</v>
      </c>
    </row>
    <row r="12" spans="1:6" x14ac:dyDescent="0.25">
      <c r="A12" t="s">
        <v>48</v>
      </c>
      <c r="B12" s="18">
        <f>-(B6-Assumptions!B29)*Assumptions!B11</f>
        <v>28059969.746849954</v>
      </c>
      <c r="C12" s="18">
        <f>-(C6-B6)*Assumptions!B11</f>
        <v>36169165.14977647</v>
      </c>
      <c r="D12" s="18">
        <f>-(D6-C6)*Assumptions!B11</f>
        <v>46621878.76302559</v>
      </c>
      <c r="E12" s="18">
        <f>-(E6-D6)*Assumptions!B11</f>
        <v>60095376.0031061</v>
      </c>
      <c r="F12" s="18">
        <f>-(F6-E6)*Assumptions!B11</f>
        <v>77462648.7128793</v>
      </c>
    </row>
    <row r="13" spans="1:6" x14ac:dyDescent="0.25">
      <c r="A13" s="19" t="s">
        <v>49</v>
      </c>
      <c r="B13" s="20">
        <f>B9+B10+B11+B12</f>
        <v>3374922634.1511307</v>
      </c>
      <c r="C13" s="20">
        <f>C9+C10+C11+C12</f>
        <v>4350258935.544091</v>
      </c>
      <c r="D13" s="20">
        <f>D9+D10+D11+D12</f>
        <v>5607462705.894357</v>
      </c>
      <c r="E13" s="20">
        <f>E9+E10+E11+E12</f>
        <v>7227992279.053471</v>
      </c>
      <c r="F13" s="20">
        <f>F9+F10+F11+F12</f>
        <v>9316847052.970995</v>
      </c>
    </row>
    <row r="14" spans="1:6" x14ac:dyDescent="0.25">
      <c r="A14" t="s">
        <v>50</v>
      </c>
      <c r="B14" s="21">
        <f>1/(1+Assumptions!$B$26)^(1-0.5*Assumptions!$B$32)</f>
        <v>0.9666164652173447</v>
      </c>
      <c r="C14" s="21">
        <f>1/(1+Assumptions!$B$26)^(2-0.5*Assumptions!$B$32)</f>
        <v>0.903155572208442</v>
      </c>
      <c r="D14" s="21">
        <f>1/(1+Assumptions!$B$26)^(3-0.5*Assumptions!$B$32)</f>
        <v>0.8438610524058779</v>
      </c>
      <c r="E14" s="21">
        <f>1/(1+Assumptions!$B$26)^(4-0.5*Assumptions!$B$32)</f>
        <v>0.7884593725378775</v>
      </c>
      <c r="F14" s="21">
        <f>1/(1+Assumptions!$B$26)^(5-0.5*Assumptions!$B$32)</f>
        <v>0.7366949575056525</v>
      </c>
    </row>
    <row r="15" spans="1:6" x14ac:dyDescent="0.25">
      <c r="A15" s="19" t="s">
        <v>51</v>
      </c>
      <c r="B15" s="20">
        <f>B13*B14</f>
        <v>3262255787.0051756</v>
      </c>
      <c r="C15" s="20">
        <f>C13*C14</f>
        <v>3928960598.1862116</v>
      </c>
      <c r="D15" s="20">
        <f>D13*D14</f>
        <v>4731919380.322724</v>
      </c>
      <c r="E15" s="20">
        <f>E13*E14</f>
        <v>5698978257.051123</v>
      </c>
      <c r="F15" s="20">
        <f>F13*F14</f>
        <v>6863674243.775131</v>
      </c>
    </row>
    <row r="17" spans="1:2" x14ac:dyDescent="0.25">
      <c r="A17" s="22" t="s">
        <v>52</v>
      </c>
      <c r="B17" s="23">
        <f>SUM(B15:F15)</f>
        <v>24485788266.340363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9316847052.970995</v>
      </c>
    </row>
    <row r="5" spans="1:2" x14ac:dyDescent="0.25">
      <c r="A5" t="s">
        <v>56</v>
      </c>
      <c r="B5" s="18">
        <f>IF(Assumptions!$B$33=0,B4,B4-Forecast!F11-Forecast!F10-Forecast!F12)</f>
        <v>9424820267.045883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0.13898594294794725</v>
      </c>
    </row>
    <row r="7" spans="1:2" x14ac:dyDescent="0.25">
      <c r="A7" t="s">
        <v>58</v>
      </c>
      <c r="B7" s="18">
        <f>-MAX(Forecast!F9,0)*B6</f>
        <v>-1309917531.9302962</v>
      </c>
    </row>
    <row r="8" spans="1:2" x14ac:dyDescent="0.25">
      <c r="A8" t="s">
        <v>59</v>
      </c>
      <c r="B8" s="18">
        <f>IF(OR(Assumptions!$B$33=0,Assumptions!B12&lt;=0),B5,MAX(B5+B7,0))</f>
        <v>8114902735.115587</v>
      </c>
    </row>
    <row r="9" spans="1:2" x14ac:dyDescent="0.25">
      <c r="A9" t="s">
        <v>60</v>
      </c>
      <c r="B9" s="18">
        <f>B8*(1+Assumptions!B12)/(Assumptions!B26-Assumptions!B12)</f>
        <v>183754327898.79465</v>
      </c>
    </row>
    <row r="10" spans="1:2" x14ac:dyDescent="0.25">
      <c r="A10" t="s">
        <v>61</v>
      </c>
      <c r="B10" s="18">
        <f>B9/(1+Assumptions!B26)^(5-0.5*Assumptions!B32)</f>
        <v>135370886782.88226</v>
      </c>
    </row>
    <row r="11" spans="1:2" x14ac:dyDescent="0.25">
      <c r="A11" t="s">
        <v>62</v>
      </c>
      <c r="B11" s="18">
        <f>Forecast!B17+B10</f>
        <v>159856675049.22263</v>
      </c>
    </row>
    <row r="12" spans="1:2" x14ac:dyDescent="0.25">
      <c r="A12" t="s">
        <v>63</v>
      </c>
      <c r="B12" s="18">
        <f>-Assumptions!B30</f>
        <v>-887346000</v>
      </c>
    </row>
    <row r="13" spans="1:2" x14ac:dyDescent="0.25">
      <c r="A13" t="s">
        <v>64</v>
      </c>
      <c r="B13" s="18">
        <f>B11+B12</f>
        <v>158969329049.22263</v>
      </c>
    </row>
    <row r="14" spans="1:2" x14ac:dyDescent="0.25">
      <c r="A14" s="19" t="s">
        <v>65</v>
      </c>
      <c r="B14" s="24">
        <f>B13/Assumptions!B31</f>
        <v>3642.278011514079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11767075164.326374</v>
      </c>
    </row>
    <row r="18" spans="1:2" x14ac:dyDescent="0.25">
      <c r="A18" t="s">
        <v>60</v>
      </c>
      <c r="B18" s="18">
        <f>B17*Assumptions!B13</f>
        <v>35301225492.979126</v>
      </c>
    </row>
    <row r="19" spans="1:2" x14ac:dyDescent="0.25">
      <c r="A19" t="s">
        <v>61</v>
      </c>
      <c r="B19" s="18">
        <f>B18/(1+Assumptions!B26)^(5-0.5*Assumptions!B32)</f>
        <v>26006234814.447716</v>
      </c>
    </row>
    <row r="20" spans="1:2" x14ac:dyDescent="0.25">
      <c r="A20" t="s">
        <v>62</v>
      </c>
      <c r="B20" s="18">
        <f>Forecast!B17+B19</f>
        <v>50492023080.78808</v>
      </c>
    </row>
    <row r="21" spans="1:2" x14ac:dyDescent="0.25">
      <c r="A21" t="s">
        <v>63</v>
      </c>
      <c r="B21" s="18">
        <f>-Assumptions!B30</f>
        <v>-887346000</v>
      </c>
    </row>
    <row r="22" spans="1:2" x14ac:dyDescent="0.25">
      <c r="A22" t="s">
        <v>64</v>
      </c>
      <c r="B22" s="18">
        <f>B20+B21</f>
        <v>49604677080.78808</v>
      </c>
    </row>
    <row r="23" spans="1:2" x14ac:dyDescent="0.25">
      <c r="A23" s="19" t="s">
        <v>65</v>
      </c>
      <c r="B23" s="25">
        <f>B22/Assumptions!B31</f>
        <v>1136.5338564376002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13700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364227.8011514079</v>
      </c>
    </row>
    <row r="29" spans="1:2" x14ac:dyDescent="0.25">
      <c r="A29" s="19" t="s">
        <v>73</v>
      </c>
      <c r="B29" s="12">
        <f>B28/B26-1</f>
        <v>25.58597088696408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0.050266</v>
      </c>
      <c r="B5" s="31">
        <v>5140.617529915202</v>
      </c>
      <c r="C5" s="31">
        <v>5759.345590771193</v>
      </c>
      <c r="D5" s="31">
        <v>6621.054049941545</v>
      </c>
      <c r="E5" s="31">
        <v>7905.586289184643</v>
      </c>
      <c r="F5" s="31">
        <v>10028.39866256122</v>
      </c>
    </row>
    <row r="6" spans="1:6" x14ac:dyDescent="0.25">
      <c r="A6" s="30">
        <v>0.060266</v>
      </c>
      <c r="B6" s="31">
        <v>3966.735089870727</v>
      </c>
      <c r="C6" s="31">
        <v>4292.294315063647</v>
      </c>
      <c r="D6" s="31">
        <v>4708.860856244219</v>
      </c>
      <c r="E6" s="31">
        <v>5261.538451594387</v>
      </c>
      <c r="F6" s="31">
        <v>6031.133948756989</v>
      </c>
    </row>
    <row r="7" spans="1:6" x14ac:dyDescent="0.25">
      <c r="A7" s="30">
        <v>0.070266</v>
      </c>
      <c r="B7" s="31">
        <v>3218.691288688123</v>
      </c>
      <c r="C7" s="31">
        <v>3409.84746332496</v>
      </c>
      <c r="D7" s="32">
        <v>3642.2562674006517</v>
      </c>
      <c r="E7" s="31">
        <v>3931.2852428012307</v>
      </c>
      <c r="F7" s="31">
        <v>4301.017148270904</v>
      </c>
    </row>
    <row r="8" spans="1:6" x14ac:dyDescent="0.25">
      <c r="A8" s="30">
        <v>0.080266</v>
      </c>
      <c r="B8" s="31">
        <v>2700.7112505095515</v>
      </c>
      <c r="C8" s="31">
        <v>2820.966566224656</v>
      </c>
      <c r="D8" s="31">
        <v>2962.213909210656</v>
      </c>
      <c r="E8" s="31">
        <v>3130.717561667516</v>
      </c>
      <c r="F8" s="31">
        <v>3335.509570651809</v>
      </c>
    </row>
    <row r="9" spans="1:6" x14ac:dyDescent="0.25">
      <c r="A9" s="30">
        <v>0.090266</v>
      </c>
      <c r="B9" s="31">
        <v>2321.065782725737</v>
      </c>
      <c r="C9" s="31">
        <v>2400.2921479859583</v>
      </c>
      <c r="D9" s="31">
        <v>2491.0341315795818</v>
      </c>
      <c r="E9" s="31">
        <v>2596.157931279829</v>
      </c>
      <c r="F9" s="31">
        <v>2719.566982138981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4344275000</v>
      </c>
      <c r="C5" s="18">
        <v>3596515000</v>
      </c>
      <c r="D5" s="18">
        <v>2547549000</v>
      </c>
      <c r="E5" s="18">
        <v>2028446000</v>
      </c>
      <c r="F5" s="8" t="s">
        <v>84</v>
      </c>
    </row>
    <row r="6" spans="1:6" x14ac:dyDescent="0.25">
      <c r="A6" t="s">
        <v>44</v>
      </c>
      <c r="B6" s="18">
        <v>2580476000</v>
      </c>
      <c r="C6" s="18">
        <v>2847991000</v>
      </c>
      <c r="D6" s="18">
        <v>1656298000</v>
      </c>
      <c r="E6" s="18">
        <v>1634650000</v>
      </c>
      <c r="F6" s="8" t="s">
        <v>85</v>
      </c>
    </row>
    <row r="7" spans="1:6" x14ac:dyDescent="0.25">
      <c r="A7" t="s">
        <v>86</v>
      </c>
      <c r="B7" s="18">
        <v>221652000</v>
      </c>
      <c r="C7" s="18">
        <v>173137000</v>
      </c>
      <c r="D7" s="18">
        <v>124723000</v>
      </c>
      <c r="E7" s="18">
        <v>111089000</v>
      </c>
      <c r="F7" s="8" t="s">
        <v>87</v>
      </c>
    </row>
    <row r="8" spans="1:6" x14ac:dyDescent="0.25">
      <c r="A8" t="s">
        <v>88</v>
      </c>
      <c r="B8" s="18">
        <v>285378000</v>
      </c>
      <c r="C8" s="18">
        <v>230929000</v>
      </c>
      <c r="D8" s="18">
        <v>155370000</v>
      </c>
      <c r="E8" s="18">
        <v>121666000</v>
      </c>
      <c r="F8" s="8" t="s">
        <v>89</v>
      </c>
    </row>
    <row r="9" spans="1:6" x14ac:dyDescent="0.25">
      <c r="A9" t="s">
        <v>90</v>
      </c>
      <c r="B9" s="18">
        <v>-17541000</v>
      </c>
      <c r="C9" s="18">
        <v>-11334000</v>
      </c>
      <c r="D9" s="18">
        <v>-11602000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8609208000</v>
      </c>
      <c r="C10" s="18">
        <v>6853950000</v>
      </c>
      <c r="D10" s="18">
        <v>3056035000</v>
      </c>
      <c r="E10" s="18">
        <v>2873429000</v>
      </c>
      <c r="F10" s="8" t="s">
        <v>92</v>
      </c>
    </row>
    <row r="11" spans="1:6" x14ac:dyDescent="0.25">
      <c r="A11" t="s">
        <v>93</v>
      </c>
      <c r="B11" s="18">
        <v>7721862000</v>
      </c>
      <c r="C11" s="18">
        <v>6825222000</v>
      </c>
      <c r="D11" s="18">
        <v>4858073000</v>
      </c>
      <c r="E11" s="18">
        <v>5967391000</v>
      </c>
      <c r="F11" s="8" t="s">
        <v>94</v>
      </c>
    </row>
    <row r="12" spans="1:6" x14ac:dyDescent="0.25">
      <c r="A12" t="s">
        <v>32</v>
      </c>
      <c r="B12" s="34">
        <v>43645578</v>
      </c>
      <c r="C12" s="34">
        <v>44429471</v>
      </c>
      <c r="D12" s="34">
        <v>45727754</v>
      </c>
      <c r="E12" s="34">
        <v>47461490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1" ht="38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