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<sst xmlns="http://schemas.openxmlformats.org/spreadsheetml/2006/main" count="114" uniqueCount="102">
  <si>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Bellevue Gold Limited (BGL.AX)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</si>
  <si>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</si>
  <si>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</si>
  <si>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</si>
  <si>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</si>
  <si>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</si>
  <si>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</si>
  <si>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</si>
  <si>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</si>
  <si>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</si>
  <si>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</si>
  <si>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</si>
  <si>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</si>
  <si>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</si>
  <si>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</si>
  <si>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</si>
  <si>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</si>
  <si>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</si>
  <si>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</si>
  <si>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</si>
  <si>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</si>
  <si>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</si>
  <si>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</si>
  <si>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</si>
  <si>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</si>
  <si>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</si>
  <si>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</si>
  <si>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</si>
  <si>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</si>
  <si>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</si>
  <si>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2025-06-30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</si>
  <si>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</si>
  <si>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</si>
  <si>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</si>
  <si>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</si>
  <si>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</si>
  <si>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</si>
  <si>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</si>
  <si>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</si>
  <si>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</si>
  <si>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</si>
  <si>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</si>
  <si>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</si>
  <si>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</si>
  <si>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</si>
  <si>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</si>
  <si>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</si>
  <si>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</si>
  <si>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</si>
  <si>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</si>
  <si>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</si>
  <si>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</si>
  <si>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</si>
  <si>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</si>
  <si>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</si>
  <si>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</si>
  <si>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</si>
  <si>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</si>
  <si>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</si>
  <si>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</si>
  <si>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</si>
  <si>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</si>
  <si>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</si>
  <si>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</si>
  <si>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</si>
  <si>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</si>
  <si>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</si>
  <si>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</si>
  <si>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</si>
  <si>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</si>
  <si>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</si>
  <si>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</si>
  <si>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</si>
  <si>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</si>
  <si>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</si>
  <si>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</si>
  <si>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</si>
  <si>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</si>
  <si>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</si>
  <si>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2025-06-30</t>
  </si>
  <si>
    <t>2024-06-30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</si>
  <si>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</si>
  <si>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</si>
  <si>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</si>
  <si>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</si>
  <si>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</si>
  <si>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</si>
  <si>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</si>
  <si>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</si>
  <si>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</si>
  <si>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</si>
  <si>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</si>
  <si>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</si>
  <si>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</si>
  <si>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</si>
  <si>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</si>
  <si>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</si>
  <si>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Only 2 year(s) of history available to anchor assumptions on.</t>
  </si>
  <si>
    <t>Adjusted: Free cashflow is negative in at least one forecast year, so terminal value carries most of the valuation.</t>
  </si>
  <si>
    <t>Adjusted: Capital expenditure runs at 77.7% of revenue against depreciation of 9.0%. A perpetuity has to be a steady state, so the terminal year uses maintenance capex at depreciation and then charges the reinvestment terminal growth requires (g/ROIC of NOPAT). The bridge is shown under Terminal Value.</t>
  </si>
  <si>
    <t>Current EV/EBITDA of 22.1x sits outside a defensible 3-20x band, so the exit multiple is capped at 20.0x. A multiple that far out usually means EBITDA is the wrong denominator for this business.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</si>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</sst>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0.5</v>
      </c>
    </row>
    <row r="7" spans="1:2" x14ac:dyDescent="0.25">
      <c r="A7" t="s">
        <v>5</v>
      </c>
      <c r="B7" s="6">
        <v>0.21242556394134812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0.09011229906554705</v>
      </c>
    </row>
    <row r="10" spans="1:2" x14ac:dyDescent="0.25">
      <c r="A10" t="s">
        <v>8</v>
      </c>
      <c r="B10" s="6">
        <v>0.7772905320588708</v>
      </c>
    </row>
    <row r="11" spans="1:2" x14ac:dyDescent="0.25">
      <c r="A11" t="s">
        <v>9</v>
      </c>
      <c r="B11" s="6">
        <v>0.013710583278294951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0.1239759350083125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1.37989</v>
      </c>
      <c r="C19" s="8" t="s">
        <v>19</v>
      </c>
    </row>
    <row r="20" spans="1:2" x14ac:dyDescent="0.25">
      <c r="A20" t="s">
        <v>20</v>
      </c>
      <c r="B20" s="10">
        <f>B17+B19*B18</f>
        <v>0.1362734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2408776192</v>
      </c>
    </row>
    <row r="23" spans="1:2" x14ac:dyDescent="0.25">
      <c r="A23" t="s">
        <v>24</v>
      </c>
      <c r="B23" s="11">
        <v>342291000</v>
      </c>
    </row>
    <row r="24" spans="1:2" x14ac:dyDescent="0.25">
      <c r="A24" t="s">
        <v>25</v>
      </c>
      <c r="B24" s="10">
        <f>B22/(B22+B23)</f>
        <v>0.8755788295555378</v>
      </c>
    </row>
    <row r="25" spans="1:2" x14ac:dyDescent="0.25">
      <c r="A25" t="s">
        <v>26</v>
      </c>
      <c r="B25" s="10">
        <f>1-B24</f>
        <v>0.12442117044446221</v>
      </c>
    </row>
    <row r="26" spans="1:2" x14ac:dyDescent="0.25">
      <c r="A26" t="s">
        <v>27</v>
      </c>
      <c r="B26" s="12">
        <f>B24*B20+B25*B21*(1-B8)</f>
        <v>0.1239759350083125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505837000</v>
      </c>
      <c r="C29" s="8" t="s">
        <v>30</v>
      </c>
    </row>
    <row r="30" spans="1:2" x14ac:dyDescent="0.25">
      <c r="A30" t="s">
        <v>31</v>
      </c>
      <c r="B30" s="11">
        <v>190699000</v>
      </c>
    </row>
    <row r="31" spans="1:2" x14ac:dyDescent="0.25">
      <c r="A31" t="s">
        <v>32</v>
      </c>
      <c r="B31" s="13">
        <v>1309752000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0.5</v>
      </c>
      <c r="C5" s="10">
        <f>Assumptions!B6</f>
        <v>0.5</v>
      </c>
      <c r="D5" s="10">
        <f>Assumptions!B6</f>
        <v>0.5</v>
      </c>
      <c r="E5" s="10">
        <f>Assumptions!B6</f>
        <v>0.5</v>
      </c>
      <c r="F5" s="10">
        <f>Assumptions!B6</f>
        <v>0.5</v>
      </c>
    </row>
    <row r="6" spans="1:6" x14ac:dyDescent="0.25">
      <c r="A6" t="s">
        <v>43</v>
      </c>
      <c r="B6" s="18">
        <f>Assumptions!B29*(1+B5)</f>
        <v>758755500</v>
      </c>
      <c r="C6" s="18">
        <f>B6*(1+C5)</f>
        <v>1138133250</v>
      </c>
      <c r="D6" s="18">
        <f>C6*(1+D5)</f>
        <v>1707199875</v>
      </c>
      <c r="E6" s="18">
        <f>D6*(1+E5)</f>
        <v>2560799812.5</v>
      </c>
      <c r="F6" s="18">
        <f>E6*(1+F5)</f>
        <v>3841199718.75</v>
      </c>
    </row>
    <row r="7" spans="1:6" x14ac:dyDescent="0.25">
      <c r="A7" t="s">
        <v>5</v>
      </c>
      <c r="B7" s="10">
        <f>Assumptions!B7</f>
        <v>0.21242556394134812</v>
      </c>
      <c r="C7" s="10">
        <f>Assumptions!B7</f>
        <v>0.21242556394134812</v>
      </c>
      <c r="D7" s="10">
        <f>Assumptions!B7</f>
        <v>0.21242556394134812</v>
      </c>
      <c r="E7" s="10">
        <f>Assumptions!B7</f>
        <v>0.21242556394134812</v>
      </c>
      <c r="F7" s="10">
        <f>Assumptions!B7</f>
        <v>0.21242556394134812</v>
      </c>
    </row>
    <row r="8" spans="1:6" x14ac:dyDescent="0.25">
      <c r="A8" t="s">
        <v>44</v>
      </c>
      <c r="B8" s="18">
        <f>B6*B7</f>
        <v>161179064.98109958</v>
      </c>
      <c r="C8" s="18">
        <f>C6*C7</f>
        <v>241768597.47164935</v>
      </c>
      <c r="D8" s="18">
        <f>D6*D7</f>
        <v>362652896.207474</v>
      </c>
      <c r="E8" s="18">
        <f>E6*E7</f>
        <v>543979344.311211</v>
      </c>
      <c r="F8" s="18">
        <f>F6*F7</f>
        <v>815969016.4668165</v>
      </c>
    </row>
    <row r="9" spans="1:6" x14ac:dyDescent="0.25">
      <c r="A9" t="s">
        <v>45</v>
      </c>
      <c r="B9" s="18">
        <f>B8*(1-Assumptions!B8)</f>
        <v>112825345.48676969</v>
      </c>
      <c r="C9" s="18">
        <f>C8*(1-Assumptions!B8)</f>
        <v>169238018.23015454</v>
      </c>
      <c r="D9" s="18">
        <f>D8*(1-Assumptions!B8)</f>
        <v>253857027.34523177</v>
      </c>
      <c r="E9" s="18">
        <f>E8*(1-Assumptions!B8)</f>
        <v>380785541.01784766</v>
      </c>
      <c r="F9" s="18">
        <f>F8*(1-Assumptions!B8)</f>
        <v>571178311.5267715</v>
      </c>
    </row>
    <row r="10" spans="1:6" x14ac:dyDescent="0.25">
      <c r="A10" t="s">
        <v>46</v>
      </c>
      <c r="B10" s="18">
        <f>B6*Assumptions!B9</f>
        <v>68373202.53362869</v>
      </c>
      <c r="C10" s="18">
        <f>C6*Assumptions!B9</f>
        <v>102559803.80044302</v>
      </c>
      <c r="D10" s="18">
        <f>D6*Assumptions!B9</f>
        <v>153839705.70066452</v>
      </c>
      <c r="E10" s="18">
        <f>E6*Assumptions!B9</f>
        <v>230759558.5509968</v>
      </c>
      <c r="F10" s="18">
        <f>F6*Assumptions!B9</f>
        <v>346139337.82649523</v>
      </c>
    </row>
    <row r="11" spans="1:6" x14ac:dyDescent="0.25">
      <c r="A11" t="s">
        <v>47</v>
      </c>
      <c r="B11" s="18">
        <f>-B6*Assumptions!B10</f>
        <v>-589773466.2975945</v>
      </c>
      <c r="C11" s="18">
        <f>-C6*Assumptions!B10</f>
        <v>-884660199.4463918</v>
      </c>
      <c r="D11" s="18">
        <f>-D6*Assumptions!B10</f>
        <v>-1326990299.1695876</v>
      </c>
      <c r="E11" s="18">
        <f>-E6*Assumptions!B10</f>
        <v>-1990485448.7543814</v>
      </c>
      <c r="F11" s="18">
        <f>-F6*Assumptions!B10</f>
        <v>-2985728173.1315722</v>
      </c>
    </row>
    <row r="12" spans="1:6" x14ac:dyDescent="0.25">
      <c r="A12" t="s">
        <v>48</v>
      </c>
      <c r="B12" s="18">
        <f>-(B6-Assumptions!B29)*Assumptions!B11</f>
        <v>-3467660.1568714418</v>
      </c>
      <c r="C12" s="18">
        <f>-(C6-B6)*Assumptions!B11</f>
        <v>-5201490.235307163</v>
      </c>
      <c r="D12" s="18">
        <f>-(D6-C6)*Assumptions!B11</f>
        <v>-7802235.352960744</v>
      </c>
      <c r="E12" s="18">
        <f>-(E6-D6)*Assumptions!B11</f>
        <v>-11703353.029441116</v>
      </c>
      <c r="F12" s="18">
        <f>-(F6-E6)*Assumptions!B11</f>
        <v>-17555029.544161674</v>
      </c>
    </row>
    <row r="13" spans="1:6" x14ac:dyDescent="0.25">
      <c r="A13" s="19" t="s">
        <v>49</v>
      </c>
      <c r="B13" s="20">
        <f>B9+B10+B11+B12</f>
        <v>-412042578.4340676</v>
      </c>
      <c r="C13" s="20">
        <f>C9+C10+C11+C12</f>
        <v>-618063867.6511015</v>
      </c>
      <c r="D13" s="20">
        <f>D9+D10+D11+D12</f>
        <v>-927095801.476652</v>
      </c>
      <c r="E13" s="20">
        <f>E9+E10+E11+E12</f>
        <v>-1390643702.214978</v>
      </c>
      <c r="F13" s="20">
        <f>F9+F10+F11+F12</f>
        <v>-2085965553.322467</v>
      </c>
    </row>
    <row r="14" spans="1:6" x14ac:dyDescent="0.25">
      <c r="A14" t="s">
        <v>50</v>
      </c>
      <c r="B14" s="21">
        <f>1/(1+Assumptions!$B$26)^(1-0.5*Assumptions!$B$32)</f>
        <v>0.9432384448659275</v>
      </c>
      <c r="C14" s="21">
        <f>1/(1+Assumptions!$B$26)^(2-0.5*Assumptions!$B$32)</f>
        <v>0.8391980784347947</v>
      </c>
      <c r="D14" s="21">
        <f>1/(1+Assumptions!$B$26)^(3-0.5*Assumptions!$B$32)</f>
        <v>0.7466334930281121</v>
      </c>
      <c r="E14" s="21">
        <f>1/(1+Assumptions!$B$26)^(4-0.5*Assumptions!$B$32)</f>
        <v>0.6642788958133612</v>
      </c>
      <c r="F14" s="21">
        <f>1/(1+Assumptions!$B$26)^(5-0.5*Assumptions!$B$32)</f>
        <v>0.5910081124721309</v>
      </c>
    </row>
    <row r="15" spans="1:6" x14ac:dyDescent="0.25">
      <c r="A15" s="19" t="s">
        <v>51</v>
      </c>
      <c r="B15" s="20">
        <f>B13*B14</f>
        <v>-388654400.9006969</v>
      </c>
      <c r="C15" s="20">
        <f>C13*C14</f>
        <v>-518678010.0827816</v>
      </c>
      <c r="D15" s="20">
        <f>D13*D14</f>
        <v>-692200776.6282098</v>
      </c>
      <c r="E15" s="20">
        <f>E13*E14</f>
        <v>-923775262.9771702</v>
      </c>
      <c r="F15" s="20">
        <f>F13*F14</f>
        <v>-1232822564.3509955</v>
      </c>
    </row>
    <row r="17" spans="1:2" x14ac:dyDescent="0.25">
      <c r="A17" s="22" t="s">
        <v>52</v>
      </c>
      <c r="B17" s="23">
        <f>SUM(B15:F15)</f>
        <v>-3756131014.939854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-2085965553.322467</v>
      </c>
    </row>
    <row r="5" spans="1:2" x14ac:dyDescent="0.25">
      <c r="A5" t="s">
        <v>56</v>
      </c>
      <c r="B5" s="18">
        <f>IF(Assumptions!$B$33=0,B4,B4-Forecast!F11-Forecast!F10-Forecast!F12)</f>
        <v>571178311.5267715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0.2016520383437622</v>
      </c>
    </row>
    <row r="7" spans="1:2" x14ac:dyDescent="0.25">
      <c r="A7" t="s">
        <v>58</v>
      </c>
      <c r="B7" s="18">
        <f>-MAX(Forecast!F9,0)*B6</f>
        <v>-115179270.77712189</v>
      </c>
    </row>
    <row r="8" spans="1:2" x14ac:dyDescent="0.25">
      <c r="A8" t="s">
        <v>59</v>
      </c>
      <c r="B8" s="18">
        <f>IF(OR(Assumptions!$B$33=0,Assumptions!B12&lt;=0),B5,MAX(B5+B7,0))</f>
        <v>455999040.74964964</v>
      </c>
    </row>
    <row r="9" spans="1:2" x14ac:dyDescent="0.25">
      <c r="A9" t="s">
        <v>60</v>
      </c>
      <c r="B9" s="18">
        <f>B8*(1+Assumptions!B12)/(Assumptions!B26-Assumptions!B12)</f>
        <v>4722350101.861996</v>
      </c>
    </row>
    <row r="10" spans="1:2" x14ac:dyDescent="0.25">
      <c r="A10" t="s">
        <v>61</v>
      </c>
      <c r="B10" s="18">
        <f>B9/(1+Assumptions!B26)^(5-0.5*Assumptions!B32)</f>
        <v>2790947220.134033</v>
      </c>
    </row>
    <row r="11" spans="1:2" x14ac:dyDescent="0.25">
      <c r="A11" t="s">
        <v>62</v>
      </c>
      <c r="B11" s="18">
        <f>Forecast!B17+B10</f>
        <v>-965183794.805821</v>
      </c>
    </row>
    <row r="12" spans="1:2" x14ac:dyDescent="0.25">
      <c r="A12" t="s">
        <v>63</v>
      </c>
      <c r="B12" s="18">
        <f>-Assumptions!B30</f>
        <v>-190699000</v>
      </c>
    </row>
    <row r="13" spans="1:2" x14ac:dyDescent="0.25">
      <c r="A13" t="s">
        <v>64</v>
      </c>
      <c r="B13" s="18">
        <f>B11+B12</f>
        <v>-1155882794.805821</v>
      </c>
    </row>
    <row r="14" spans="1:2" x14ac:dyDescent="0.25">
      <c r="A14" s="19" t="s">
        <v>65</v>
      </c>
      <c r="B14" s="24">
        <f>B13/Assumptions!B31</f>
        <v>-0.8825203510327306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1162108354.2933118</v>
      </c>
    </row>
    <row r="18" spans="1:2" x14ac:dyDescent="0.25">
      <c r="A18" t="s">
        <v>60</v>
      </c>
      <c r="B18" s="18">
        <f>B17*Assumptions!B13</f>
        <v>23242167085.866238</v>
      </c>
    </row>
    <row r="19" spans="1:2" x14ac:dyDescent="0.25">
      <c r="A19" t="s">
        <v>61</v>
      </c>
      <c r="B19" s="18">
        <f>B18/(1+Assumptions!B26)^(5-0.5*Assumptions!B32)</f>
        <v>13736309299.179693</v>
      </c>
    </row>
    <row r="20" spans="1:2" x14ac:dyDescent="0.25">
      <c r="A20" t="s">
        <v>62</v>
      </c>
      <c r="B20" s="18">
        <f>Forecast!B17+B19</f>
        <v>9980178284.23984</v>
      </c>
    </row>
    <row r="21" spans="1:2" x14ac:dyDescent="0.25">
      <c r="A21" t="s">
        <v>63</v>
      </c>
      <c r="B21" s="18">
        <f>-Assumptions!B30</f>
        <v>-190699000</v>
      </c>
    </row>
    <row r="22" spans="1:2" x14ac:dyDescent="0.25">
      <c r="A22" t="s">
        <v>64</v>
      </c>
      <c r="B22" s="18">
        <f>B20+B21</f>
        <v>9789479284.23984</v>
      </c>
    </row>
    <row r="23" spans="1:2" x14ac:dyDescent="0.25">
      <c r="A23" s="19" t="s">
        <v>65</v>
      </c>
      <c r="B23" s="25">
        <f>B22/Assumptions!B31</f>
        <v>7.474299931773221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1.615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-0.8825203510327306</v>
      </c>
    </row>
    <row r="29" spans="1:2" x14ac:dyDescent="0.25">
      <c r="A29" s="19" t="s">
        <v>73</v>
      </c>
      <c r="B29" s="12">
        <f>B28/B26-1</f>
        <v>-1.5464522297416288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0.103976</v>
      </c>
      <c r="B5" s="31">
        <v>-0.4484098012122293</v>
      </c>
      <c r="C5" s="31">
        <v>-0.4349728360269251</v>
      </c>
      <c r="D5" s="31">
        <v>-0.4215358708416213</v>
      </c>
      <c r="E5" s="31">
        <v>-0.40809890565631785</v>
      </c>
      <c r="F5" s="31">
        <v>-0.39466194047101366</v>
      </c>
    </row>
    <row r="6" spans="1:6" x14ac:dyDescent="0.25">
      <c r="A6" s="30">
        <v>0.113976</v>
      </c>
      <c r="B6" s="31">
        <v>-0.7036375287070721</v>
      </c>
      <c r="C6" s="31">
        <v>-0.6918669456371015</v>
      </c>
      <c r="D6" s="31">
        <v>-0.6800963625671312</v>
      </c>
      <c r="E6" s="31">
        <v>-0.66832577949716</v>
      </c>
      <c r="F6" s="31">
        <v>-0.6565551964271897</v>
      </c>
    </row>
    <row r="7" spans="1:6" x14ac:dyDescent="0.25">
      <c r="A7" s="30">
        <v>0.123976</v>
      </c>
      <c r="B7" s="31">
        <v>-0.903310742869519</v>
      </c>
      <c r="C7" s="31">
        <v>-0.8929161292296574</v>
      </c>
      <c r="D7" s="32">
        <v>-0.8825215155897962</v>
      </c>
      <c r="E7" s="31">
        <v>-0.8721269019499339</v>
      </c>
      <c r="F7" s="31">
        <v>-0.8617322883100728</v>
      </c>
    </row>
    <row r="8" spans="1:6" x14ac:dyDescent="0.25">
      <c r="A8" s="30">
        <v>0.133976</v>
      </c>
      <c r="B8" s="31">
        <v>-1.0606854954224818</v>
      </c>
      <c r="C8" s="31">
        <v>-1.051442595487382</v>
      </c>
      <c r="D8" s="31">
        <v>-1.0421996955522828</v>
      </c>
      <c r="E8" s="31">
        <v>-1.0329567956171826</v>
      </c>
      <c r="F8" s="31">
        <v>-1.023713895682083</v>
      </c>
    </row>
    <row r="9" spans="1:6" x14ac:dyDescent="0.25">
      <c r="A9" s="30">
        <v>0.143976</v>
      </c>
      <c r="B9" s="31">
        <v>-1.1852834380761825</v>
      </c>
      <c r="C9" s="31">
        <v>-1.1770157053445083</v>
      </c>
      <c r="D9" s="31">
        <v>-1.168747972612834</v>
      </c>
      <c r="E9" s="31">
        <v>-1.1604802398811598</v>
      </c>
      <c r="F9" s="31">
        <v>-1.152212507149485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3" width="17" customWidth="1"/>
    <col min="4" max="4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4" x14ac:dyDescent="0.25">
      <c r="A4" s="16" t="s">
        <v>78</v>
      </c>
      <c r="B4" s="17" t="s">
        <v>79</v>
      </c>
      <c r="C4" s="17" t="s">
        <v>80</v>
      </c>
      <c r="D4" s="33" t="s">
        <v>81</v>
      </c>
    </row>
    <row r="5" spans="1:4" x14ac:dyDescent="0.25">
      <c r="A5" t="s">
        <v>43</v>
      </c>
      <c r="B5" s="18">
        <v>505837000</v>
      </c>
      <c r="C5" s="18">
        <v>298406000</v>
      </c>
      <c r="D5" s="8" t="s">
        <v>82</v>
      </c>
    </row>
    <row r="6" spans="1:4" x14ac:dyDescent="0.25">
      <c r="A6" t="s">
        <v>44</v>
      </c>
      <c r="B6" s="18">
        <v>79751000</v>
      </c>
      <c r="C6" s="18">
        <v>79731000</v>
      </c>
      <c r="D6" s="8" t="s">
        <v>83</v>
      </c>
    </row>
    <row r="7" spans="1:4" x14ac:dyDescent="0.25">
      <c r="A7" t="s">
        <v>84</v>
      </c>
      <c r="B7" s="18">
        <v>37688000</v>
      </c>
      <c r="C7" s="18">
        <v>31547000</v>
      </c>
      <c r="D7" s="8" t="s">
        <v>85</v>
      </c>
    </row>
    <row r="8" spans="1:4" x14ac:dyDescent="0.25">
      <c r="A8" t="s">
        <v>86</v>
      </c>
      <c r="B8" s="18">
        <v>192052000</v>
      </c>
      <c r="C8" s="18">
        <v>350600000</v>
      </c>
      <c r="D8" s="8" t="s">
        <v>87</v>
      </c>
    </row>
    <row r="9" spans="1:4" x14ac:dyDescent="0.25">
      <c r="A9" t="s">
        <v>88</v>
      </c>
      <c r="B9" s="18">
        <v>2844000</v>
      </c>
      <c r="C9" s="18">
        <v>10505000</v>
      </c>
      <c r="D9" s="8" t="s">
        <v>89</v>
      </c>
    </row>
    <row r="10" spans="1:4" x14ac:dyDescent="0.25">
      <c r="A10" t="s">
        <v>90</v>
      </c>
      <c r="B10" s="18">
        <v>342291000</v>
      </c>
      <c r="C10" s="18">
        <v>476843000</v>
      </c>
      <c r="D10" s="8" t="s">
        <v>91</v>
      </c>
    </row>
    <row r="11" spans="1:4" x14ac:dyDescent="0.25">
      <c r="A11" t="s">
        <v>92</v>
      </c>
      <c r="B11" s="18">
        <v>151592000</v>
      </c>
      <c r="C11" s="18">
        <v>48687000</v>
      </c>
      <c r="D11" s="8" t="s">
        <v>93</v>
      </c>
    </row>
    <row r="12" spans="1:4" x14ac:dyDescent="0.25">
      <c r="A12" t="s">
        <v>32</v>
      </c>
      <c r="B12" s="34">
        <v>1309752000</v>
      </c>
      <c r="C12" s="34">
        <v>1195182250</v>
      </c>
      <c r="D12" s="8" t="s">
        <v>94</v>
      </c>
    </row>
    <row r="15" spans="1:1" x14ac:dyDescent="0.25">
      <c r="A15" s="19" t="s">
        <v>95</v>
      </c>
    </row>
    <row r="16" ht="38" customHeight="1" spans="1:4" x14ac:dyDescent="0.25">
      <c r="A16" s="35" t="s">
        <v>96</v>
      </c>
      <c r="B16" s="35"/>
      <c r="C16" s="35"/>
      <c r="D16" s="35"/>
    </row>
    <row r="17" ht="22" customHeight="1" spans="1:4" x14ac:dyDescent="0.25">
      <c r="A17" s="35" t="s">
        <v>97</v>
      </c>
      <c r="B17" s="35"/>
      <c r="C17" s="35"/>
      <c r="D17" s="35"/>
    </row>
    <row r="18" ht="38" customHeight="1" spans="1:4" x14ac:dyDescent="0.25">
      <c r="A18" s="35" t="s">
        <v>98</v>
      </c>
      <c r="B18" s="35"/>
      <c r="C18" s="35"/>
      <c r="D18" s="35"/>
    </row>
    <row r="19" ht="54" customHeight="1" spans="1:4" x14ac:dyDescent="0.25">
      <c r="A19" s="35" t="s">
        <v>99</v>
      </c>
      <c r="B19" s="35"/>
      <c r="C19" s="35"/>
      <c r="D19" s="35"/>
    </row>
    <row r="20" ht="38" customHeight="1" spans="1:4" x14ac:dyDescent="0.25">
      <c r="A20" s="35" t="s">
        <v>100</v>
      </c>
      <c r="B20" s="35"/>
      <c r="C20" s="35"/>
      <c r="D20" s="35"/>
    </row>
    <row r="22" spans="1:1" x14ac:dyDescent="0.25">
      <c r="A22" s="36" t="s">
        <v>101</v>
      </c>
    </row>
  </sheetData>
  <mergeCells count="5">
    <mergeCell ref="A16:D16"/>
    <mergeCell ref="A17:D17"/>
    <mergeCell ref="A18:D18"/>
    <mergeCell ref="A19:D19"/>
    <mergeCell ref="A20:D2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2026-09-19T00:06:16Z</dcterms:modified>
</cp:coreProperties>
</file>