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<sst xmlns="http://schemas.openxmlformats.org/spreadsheetml/2006/main" count="119" uniqueCount="106">
  <si>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Biogen Inc. (BIIB)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</si>
  <si>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</si>
  <si>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</si>
  <si>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</si>
  <si>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</si>
  <si>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</si>
  <si>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</si>
  <si>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</si>
  <si>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</si>
  <si>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</si>
  <si>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</si>
  <si>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</si>
  <si>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</si>
  <si>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</si>
  <si>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</si>
  <si>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</si>
  <si>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</si>
  <si>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</si>
  <si>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</si>
  <si>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</si>
  <si>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</si>
  <si>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</si>
  <si>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</si>
  <si>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</si>
  <si>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9.2x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</si>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</sst>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0.06456862981012268</v>
      </c>
    </row>
    <row r="7" spans="1:2" x14ac:dyDescent="0.25">
      <c r="A7" t="s">
        <v>4</v>
      </c>
      <c r="B7" s="5">
        <v>0.23960289020005515</v>
      </c>
    </row>
    <row r="8" spans="1:2" x14ac:dyDescent="0.25">
      <c r="A8" t="s">
        <v>5</v>
      </c>
      <c r="B8" s="5">
        <v>0.15650297351694092</v>
      </c>
    </row>
    <row r="9" spans="1:2" x14ac:dyDescent="0.25">
      <c r="A9" t="s">
        <v>6</v>
      </c>
      <c r="B9" s="5">
        <v>0.06242275871238571</v>
      </c>
    </row>
    <row r="10" spans="1:3" x14ac:dyDescent="0.25">
      <c r="A10" t="s">
        <v>7</v>
      </c>
      <c r="B10" s="5">
        <v>0.029137881277778045</v>
      </c>
      <c r="C10" s="6" t="s">
        <v>8</v>
      </c>
    </row>
    <row r="11" spans="1:2" x14ac:dyDescent="0.25">
      <c r="A11" t="s">
        <v>9</v>
      </c>
      <c r="B11" s="5">
        <v>0.3839428776355135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12.179572221982825</v>
      </c>
    </row>
    <row r="14" spans="1:3" x14ac:dyDescent="0.25">
      <c r="A14" t="s">
        <v>12</v>
      </c>
      <c r="B14" s="5">
        <v>0.08422042599027438</v>
      </c>
      <c r="C14" s="6" t="s">
        <v>13</v>
      </c>
    </row>
    <row r="15" spans="1:3" x14ac:dyDescent="0.25">
      <c r="A15" t="s">
        <v>14</v>
      </c>
      <c r="B15" s="5">
        <v>0.02745816552575763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0.38761999999999996</v>
      </c>
      <c r="C19" s="6" t="s">
        <v>21</v>
      </c>
    </row>
    <row r="20" spans="1:2" x14ac:dyDescent="0.25">
      <c r="A20" t="s">
        <v>22</v>
      </c>
      <c r="B20" s="9">
        <f>B17+B19*B18</f>
        <v>0.065336326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36808712192</v>
      </c>
    </row>
    <row r="23" spans="1:2" x14ac:dyDescent="0.25">
      <c r="A23" t="s">
        <v>26</v>
      </c>
      <c r="B23" s="10">
        <v>6577200000</v>
      </c>
    </row>
    <row r="24" spans="1:2" x14ac:dyDescent="0.25">
      <c r="A24" t="s">
        <v>27</v>
      </c>
      <c r="B24" s="9">
        <f>B22/(B22+B23)</f>
        <v>0.8484024037366493</v>
      </c>
    </row>
    <row r="25" spans="1:2" x14ac:dyDescent="0.25">
      <c r="A25" t="s">
        <v>28</v>
      </c>
      <c r="B25" s="9">
        <f>1-B24</f>
        <v>0.15159759626335068</v>
      </c>
    </row>
    <row r="26" spans="1:2" x14ac:dyDescent="0.25">
      <c r="A26" t="s">
        <v>29</v>
      </c>
      <c r="B26" s="11">
        <f>B24*B20+B25*B21*(1-B8)</f>
        <v>0.06220104615093726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9890600000</v>
      </c>
      <c r="C29" s="6" t="s">
        <v>32</v>
      </c>
    </row>
    <row r="30" spans="1:2" x14ac:dyDescent="0.25">
      <c r="A30" t="s">
        <v>33</v>
      </c>
      <c r="B30" s="10">
        <v>2761500000</v>
      </c>
    </row>
    <row r="31" spans="1:2" x14ac:dyDescent="0.25">
      <c r="A31" t="s">
        <v>34</v>
      </c>
      <c r="B31" s="12">
        <v>147100000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0.06456862981012268</v>
      </c>
      <c r="C5" s="5">
        <v>0.02224386750516838</v>
      </c>
      <c r="D5" s="5">
        <v>0.02258838406702233</v>
      </c>
      <c r="E5" s="5">
        <v>0.022932900628876283</v>
      </c>
      <c r="F5" s="5">
        <v>0.02327741719073024</v>
      </c>
      <c r="G5" s="5">
        <v>0.02362193375258419</v>
      </c>
      <c r="H5" s="5">
        <v>0.023966450314438142</v>
      </c>
      <c r="I5" s="5">
        <v>0.024310966876292098</v>
      </c>
      <c r="J5" s="5">
        <v>0.02465548343814605</v>
      </c>
      <c r="K5" s="5">
        <v>0.025</v>
      </c>
    </row>
    <row r="6" spans="1:11" x14ac:dyDescent="0.25">
      <c r="A6" t="s">
        <v>50</v>
      </c>
      <c r="B6" s="18">
        <f>Assumptions!B29*(1+B5)</f>
        <v>10529222490</v>
      </c>
      <c r="C6" s="18">
        <f>B6*(1+C5)</f>
        <v>10763433120</v>
      </c>
      <c r="D6" s="18">
        <f>C6*(1+D5)</f>
        <v>11006561681.194267</v>
      </c>
      <c r="E6" s="18">
        <f>D6*(1+E5)</f>
        <v>11258974066.494694</v>
      </c>
      <c r="F6" s="18">
        <f>E6*(1+F5)</f>
        <v>11521053902.980103</v>
      </c>
      <c r="G6" s="18">
        <f>F6*(1+G5)</f>
        <v>11793203475.036251</v>
      </c>
      <c r="H6" s="18">
        <f>G6*(1+H5)</f>
        <v>12075844700.168766</v>
      </c>
      <c r="I6" s="18">
        <f>H6*(1+I5)</f>
        <v>12369420160.677818</v>
      </c>
      <c r="J6" s="18">
        <f>I6*(1+J5)</f>
        <v>12674394194.58888</v>
      </c>
      <c r="K6" s="18">
        <f>J6*(1+K5)</f>
        <v>12991254049.453602</v>
      </c>
    </row>
    <row r="7" spans="1:11" x14ac:dyDescent="0.25">
      <c r="A7" t="s">
        <v>4</v>
      </c>
      <c r="B7" s="9">
        <f>Assumptions!B7</f>
        <v>0.23960289020005515</v>
      </c>
      <c r="C7" s="9">
        <f>Assumptions!B7</f>
        <v>0.23960289020005515</v>
      </c>
      <c r="D7" s="9">
        <f>Assumptions!B7</f>
        <v>0.23960289020005515</v>
      </c>
      <c r="E7" s="9">
        <f>Assumptions!B7</f>
        <v>0.23960289020005515</v>
      </c>
      <c r="F7" s="9">
        <f>Assumptions!B7</f>
        <v>0.23960289020005515</v>
      </c>
      <c r="G7" s="9">
        <f>Assumptions!B7</f>
        <v>0.23960289020005515</v>
      </c>
      <c r="H7" s="9">
        <f>Assumptions!B7</f>
        <v>0.23960289020005515</v>
      </c>
      <c r="I7" s="9">
        <f>Assumptions!B7</f>
        <v>0.23960289020005515</v>
      </c>
      <c r="J7" s="9">
        <f>Assumptions!B7</f>
        <v>0.23960289020005515</v>
      </c>
      <c r="K7" s="9">
        <f>Assumptions!B7</f>
        <v>0.23960289020005515</v>
      </c>
    </row>
    <row r="8" spans="1:11" x14ac:dyDescent="0.25">
      <c r="A8" t="s">
        <v>51</v>
      </c>
      <c r="B8" s="18">
        <f>B6*B7</f>
        <v>2522832140.163421</v>
      </c>
      <c r="C8" s="18">
        <f>C6*C7</f>
        <v>2578949684.026997</v>
      </c>
      <c r="D8" s="18">
        <f>D6*D7</f>
        <v>2637203989.9793243</v>
      </c>
      <c r="E8" s="18">
        <f>E6*E7</f>
        <v>2697682727.0195966</v>
      </c>
      <c r="F8" s="18">
        <f>F6*F7</f>
        <v>2760477813.3046584</v>
      </c>
      <c r="G8" s="18">
        <f>G6*G7</f>
        <v>2825685637.3360195</v>
      </c>
      <c r="H8" s="18">
        <f>H6*H7</f>
        <v>2893407291.7674546</v>
      </c>
      <c r="I8" s="18">
        <f>I6*I7</f>
        <v>2963748820.5972357</v>
      </c>
      <c r="J8" s="18">
        <f>J6*J7</f>
        <v>3036821480.558296</v>
      </c>
      <c r="K8" s="18">
        <f>K6*K7</f>
        <v>3112742017.572253</v>
      </c>
    </row>
    <row r="9" spans="1:11" x14ac:dyDescent="0.25">
      <c r="A9" t="s">
        <v>52</v>
      </c>
      <c r="B9" s="18">
        <f>B8*(1-Assumptions!B8)</f>
        <v>2128001408.5437376</v>
      </c>
      <c r="C9" s="18">
        <f>C8*(1-Assumptions!B8)</f>
        <v>2175336389.9261966</v>
      </c>
      <c r="D9" s="18">
        <f>D8*(1-Assumptions!B8)</f>
        <v>2224473723.776819</v>
      </c>
      <c r="E9" s="18">
        <f>E8*(1-Assumptions!B8)</f>
        <v>2275487358.6357393</v>
      </c>
      <c r="F9" s="18">
        <f>F8*(1-Assumptions!B8)</f>
        <v>2328454827.1949363</v>
      </c>
      <c r="G9" s="18">
        <f>G8*(1-Assumptions!B8)</f>
        <v>2383457432.86882</v>
      </c>
      <c r="H9" s="18">
        <f>H8*(1-Assumptions!B8)</f>
        <v>2440580447.0102487</v>
      </c>
      <c r="I9" s="18">
        <f>I8*(1-Assumptions!B8)</f>
        <v>2499913317.4164414</v>
      </c>
      <c r="J9" s="18">
        <f>J8*(1-Assumptions!B8)</f>
        <v>2561549888.810804</v>
      </c>
      <c r="K9" s="18">
        <f>K8*(1-Assumptions!B8)</f>
        <v>2625588636.0310736</v>
      </c>
    </row>
    <row r="10" spans="1:11" x14ac:dyDescent="0.25">
      <c r="A10" t="s">
        <v>53</v>
      </c>
      <c r="B10" s="18">
        <f>B6*Assumptions!B9</f>
        <v>657263114.9222951</v>
      </c>
      <c r="C10" s="18">
        <f>C6*Assumptions!B9</f>
        <v>671883188.5666609</v>
      </c>
      <c r="D10" s="18">
        <f>D6*Assumptions!B9</f>
        <v>687059944.0781801</v>
      </c>
      <c r="E10" s="18">
        <f>E6*Assumptions!B9</f>
        <v>702816221.5018064</v>
      </c>
      <c r="F10" s="18">
        <f>F6*Assumptions!B9</f>
        <v>719175967.8981166</v>
      </c>
      <c r="G10" s="18">
        <f>G6*Assumptions!B9</f>
        <v>736164294.9682566</v>
      </c>
      <c r="H10" s="18">
        <f>H6*Assumptions!B9</f>
        <v>753807539.9668766</v>
      </c>
      <c r="I10" s="18">
        <f>I6*Assumptions!B9</f>
        <v>772133330.1021107</v>
      </c>
      <c r="J10" s="18">
        <f>J6*Assumptions!B9</f>
        <v>791170650.6344839</v>
      </c>
      <c r="K10" s="18">
        <f>K6*Assumptions!B9</f>
        <v>810949916.9003459</v>
      </c>
    </row>
    <row r="11" spans="1:11" x14ac:dyDescent="0.25">
      <c r="A11" t="s">
        <v>54</v>
      </c>
      <c r="B11" s="18">
        <f>-B6*B19</f>
        <v>-306799234.8609305</v>
      </c>
      <c r="C11" s="18">
        <f>-C6*C19</f>
        <v>-393832164.7375366</v>
      </c>
      <c r="D11" s="18">
        <f>-D6*D19</f>
        <v>-484748506.3219699</v>
      </c>
      <c r="E11" s="18">
        <f>-E6*E19</f>
        <v>-579766468.6416198</v>
      </c>
      <c r="F11" s="18">
        <f>-F6*F19</f>
        <v>-679116212.5338776</v>
      </c>
      <c r="G11" s="18">
        <f>-G6*G19</f>
        <v>-783040572.7107521</v>
      </c>
      <c r="H11" s="18">
        <f>-H6*H19</f>
        <v>-891795824.9884956</v>
      </c>
      <c r="I11" s="18">
        <f>-I6*I19</f>
        <v>-1005652501.6891104</v>
      </c>
      <c r="J11" s="18">
        <f>-J6*J19</f>
        <v>-1124896258.428943</v>
      </c>
      <c r="K11" s="18">
        <f>-K6*K19</f>
        <v>-1249828795.7330709</v>
      </c>
    </row>
    <row r="12" spans="1:11" x14ac:dyDescent="0.25">
      <c r="A12" t="s">
        <v>55</v>
      </c>
      <c r="B12" s="18">
        <f>-(B6-Assumptions!B29)*Assumptions!B11</f>
        <v>-245194556.53335693</v>
      </c>
      <c r="C12" s="18">
        <f>-(C6-B6)*Assumptions!B11</f>
        <v>-89923503.25502652</v>
      </c>
      <c r="D12" s="18">
        <f>-(D6-C6)*Assumptions!B11</f>
        <v>-93347479.420309</v>
      </c>
      <c r="E12" s="18">
        <f>-(E6-D6)*Assumptions!B11</f>
        <v>-96911937.56308973</v>
      </c>
      <c r="F12" s="18">
        <f>-(F6-E6)*Assumptions!B11</f>
        <v>-100623686.59045269</v>
      </c>
      <c r="G12" s="18">
        <f>-(G6-F6)*Assumptions!B11</f>
        <v>-104489889.84251119</v>
      </c>
      <c r="H12" s="18">
        <f>-(H6-G6)*Assumptions!B11</f>
        <v>-108518085.31580481</v>
      </c>
      <c r="I12" s="18">
        <f>-(I6-H6)*Assumptions!B11</f>
        <v>-112716207.11101659</v>
      </c>
      <c r="J12" s="18">
        <f>-(J6-I6)*Assumptions!B11</f>
        <v>-117092608.18392392</v>
      </c>
      <c r="K12" s="18">
        <f>-(K6-J6)*Assumptions!B11</f>
        <v>-121656084.48393226</v>
      </c>
    </row>
    <row r="13" spans="1:11" x14ac:dyDescent="0.25">
      <c r="A13" s="19" t="s">
        <v>56</v>
      </c>
      <c r="B13" s="20">
        <f>B9+B10+B11+B12</f>
        <v>2233270732.0717454</v>
      </c>
      <c r="C13" s="20">
        <f>C9+C10+C11+C12</f>
        <v>2363463910.5002947</v>
      </c>
      <c r="D13" s="20">
        <f>D9+D10+D11+D12</f>
        <v>2333437682.1127205</v>
      </c>
      <c r="E13" s="20">
        <f>E9+E10+E11+E12</f>
        <v>2301625173.932836</v>
      </c>
      <c r="F13" s="20">
        <f>F9+F10+F11+F12</f>
        <v>2267890895.968723</v>
      </c>
      <c r="G13" s="20">
        <f>G9+G10+G11+G12</f>
        <v>2232091265.2838135</v>
      </c>
      <c r="H13" s="20">
        <f>H9+H10+H11+H12</f>
        <v>2194074076.6728244</v>
      </c>
      <c r="I13" s="20">
        <f>I9+I10+I11+I12</f>
        <v>2153677938.7184253</v>
      </c>
      <c r="J13" s="20">
        <f>J9+J10+J11+J12</f>
        <v>2110731672.832421</v>
      </c>
      <c r="K13" s="20">
        <f>K9+K10+K11+K12</f>
        <v>2065053672.7144163</v>
      </c>
    </row>
    <row r="14" spans="1:11" x14ac:dyDescent="0.25">
      <c r="A14" t="s">
        <v>57</v>
      </c>
      <c r="B14" s="21">
        <f>1/(1+Assumptions!$B$26)^(1-0.5*Assumptions!$B$32)</f>
        <v>0.9702790126405776</v>
      </c>
      <c r="C14" s="21">
        <f>1/(1+Assumptions!$B$26)^(2-0.5*Assumptions!$B$32)</f>
        <v>0.9134607955401151</v>
      </c>
      <c r="D14" s="21">
        <f>1/(1+Assumptions!$B$26)^(3-0.5*Assumptions!$B$32)</f>
        <v>0.8599697758255772</v>
      </c>
      <c r="E14" s="21">
        <f>1/(1+Assumptions!$B$26)^(4-0.5*Assumptions!$B$32)</f>
        <v>0.8096111173509207</v>
      </c>
      <c r="F14" s="21">
        <f>1/(1+Assumptions!$B$26)^(5-0.5*Assumptions!$B$32)</f>
        <v>0.7622013933093756</v>
      </c>
      <c r="G14" s="21">
        <f>1/(1+Assumptions!$B$26)^(6-0.5*Assumptions!$B$32)</f>
        <v>0.7175679181180808</v>
      </c>
      <c r="H14" s="21">
        <f>1/(1+Assumptions!$B$26)^(7-0.5*Assumptions!$B$32)</f>
        <v>0.6755481184266462</v>
      </c>
      <c r="I14" s="21">
        <f>1/(1+Assumptions!$B$26)^(8-0.5*Assumptions!$B$32)</f>
        <v>0.6359889409585949</v>
      </c>
      <c r="J14" s="21">
        <f>1/(1+Assumptions!$B$26)^(9-0.5*Assumptions!$B$32)</f>
        <v>0.5987462950288056</v>
      </c>
      <c r="K14" s="21">
        <f>1/(1+Assumptions!$B$26)^(10-0.5*Assumptions!$B$32)</f>
        <v>0.5636845277063722</v>
      </c>
    </row>
    <row r="15" spans="1:11" x14ac:dyDescent="0.25">
      <c r="A15" s="19" t="s">
        <v>58</v>
      </c>
      <c r="B15" s="20">
        <f>B13*B14</f>
        <v>2166895720.873673</v>
      </c>
      <c r="C15" s="20">
        <f>C13*C14</f>
        <v>2158931623.9159503</v>
      </c>
      <c r="D15" s="20">
        <f>D13*D14</f>
        <v>2006685880.3894308</v>
      </c>
      <c r="E15" s="20">
        <f>E13*E14</f>
        <v>1863421328.7907708</v>
      </c>
      <c r="F15" s="20">
        <f>F13*F14</f>
        <v>1728589600.7810087</v>
      </c>
      <c r="G15" s="20">
        <f>G13*G14</f>
        <v>1601677082.279259</v>
      </c>
      <c r="H15" s="20">
        <f>H13*H14</f>
        <v>1482202614.1850076</v>
      </c>
      <c r="I15" s="20">
        <f>I13*I14</f>
        <v>1369715351.411421</v>
      </c>
      <c r="J15" s="20">
        <f>J13*J14</f>
        <v>1263792768.9083652</v>
      </c>
      <c r="K15" s="20">
        <f>K13*K14</f>
        <v>1164038804.1923351</v>
      </c>
    </row>
    <row r="17" spans="1:2" x14ac:dyDescent="0.25">
      <c r="A17" s="22" t="s">
        <v>59</v>
      </c>
      <c r="B17" s="23">
        <f>SUM(B15:K15)</f>
        <v>16805950775.72722</v>
      </c>
    </row>
    <row r="19" spans="1:11" x14ac:dyDescent="0.25">
      <c r="A19" t="s">
        <v>7</v>
      </c>
      <c r="B19" s="9">
        <f>Assumptions!$B$10+($B$20-Assumptions!$B$10)*0/9</f>
        <v>0.029137881277778045</v>
      </c>
      <c r="C19" s="9">
        <f>Assumptions!$B$10+($B$20-Assumptions!$B$10)*1/9</f>
        <v>0.03658982783158099</v>
      </c>
      <c r="D19" s="9">
        <f>Assumptions!$B$10+($B$20-Assumptions!$B$10)*2/9</f>
        <v>0.044041774385383925</v>
      </c>
      <c r="E19" s="9">
        <f>Assumptions!$B$10+($B$20-Assumptions!$B$10)*3/9</f>
        <v>0.051493720939186874</v>
      </c>
      <c r="F19" s="9">
        <f>Assumptions!$B$10+($B$20-Assumptions!$B$10)*4/9</f>
        <v>0.05894566749298981</v>
      </c>
      <c r="G19" s="9">
        <f>Assumptions!$B$10+($B$20-Assumptions!$B$10)*5/9</f>
        <v>0.06639761404679276</v>
      </c>
      <c r="H19" s="9">
        <f>Assumptions!$B$10+($B$20-Assumptions!$B$10)*6/9</f>
        <v>0.07384956060059569</v>
      </c>
      <c r="I19" s="9">
        <f>Assumptions!$B$10+($B$20-Assumptions!$B$10)*7/9</f>
        <v>0.08130150715439864</v>
      </c>
      <c r="J19" s="9">
        <f>Assumptions!$B$10+($B$20-Assumptions!$B$10)*8/9</f>
        <v>0.08875345370820158</v>
      </c>
      <c r="K19" s="9">
        <f>Assumptions!$B$10+($B$20-Assumptions!$B$10)*9/9</f>
        <v>0.09620540026200453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0.09620540026200453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2065053672.7144163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3008733590.825275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0.2968401038827203</v>
      </c>
    </row>
    <row r="7" spans="1:2" x14ac:dyDescent="0.25">
      <c r="A7" t="s">
        <v>66</v>
      </c>
      <c r="B7" s="18">
        <f>-MAX(B5,0)*B6</f>
        <v>-893112791.6560047</v>
      </c>
    </row>
    <row r="8" spans="1:2" x14ac:dyDescent="0.25">
      <c r="A8" t="s">
        <v>67</v>
      </c>
      <c r="B8" s="18">
        <f>IF(OR(Assumptions!$B$33=0,Assumptions!B12&lt;=0),B5,MAX(B5+B7,0))</f>
        <v>2115620799.1692703</v>
      </c>
    </row>
    <row r="9" spans="1:2" x14ac:dyDescent="0.25">
      <c r="A9" t="s">
        <v>68</v>
      </c>
      <c r="B9" s="18">
        <f>B8*(1+Assumptions!B12)/(Assumptions!B26-Assumptions!B12)</f>
        <v>58291675732.723114</v>
      </c>
    </row>
    <row r="10" spans="1:2" x14ac:dyDescent="0.25">
      <c r="A10" t="s">
        <v>69</v>
      </c>
      <c r="B10" s="18">
        <f>B9/(1+Assumptions!B26)^(10-0.5*Assumptions!B32)</f>
        <v>32858115704.61303</v>
      </c>
    </row>
    <row r="11" spans="1:2" x14ac:dyDescent="0.25">
      <c r="A11" t="s">
        <v>70</v>
      </c>
      <c r="B11" s="18">
        <f>Forecast!B17+B10</f>
        <v>49664066480.34025</v>
      </c>
    </row>
    <row r="12" spans="1:2" x14ac:dyDescent="0.25">
      <c r="A12" t="s">
        <v>71</v>
      </c>
      <c r="B12" s="18">
        <f>-Assumptions!B30</f>
        <v>-2761500000</v>
      </c>
    </row>
    <row r="13" spans="1:2" x14ac:dyDescent="0.25">
      <c r="A13" t="s">
        <v>72</v>
      </c>
      <c r="B13" s="18">
        <f>B11+B12</f>
        <v>46902566480.34025</v>
      </c>
    </row>
    <row r="14" spans="1:2" x14ac:dyDescent="0.25">
      <c r="A14" s="19" t="s">
        <v>73</v>
      </c>
      <c r="B14" s="24">
        <f>B13/Assumptions!B31</f>
        <v>318.848174577432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3923691934.472599</v>
      </c>
    </row>
    <row r="18" spans="1:2" x14ac:dyDescent="0.25">
      <c r="A18" t="s">
        <v>68</v>
      </c>
      <c r="B18" s="18">
        <f>B17*Assumptions!B13</f>
        <v>47788889292.72052</v>
      </c>
    </row>
    <row r="19" spans="1:2" x14ac:dyDescent="0.25">
      <c r="A19" t="s">
        <v>69</v>
      </c>
      <c r="B19" s="18">
        <f>B18/(1+Assumptions!B26)^(10-0.5*Assumptions!B32)</f>
        <v>26937857490.579277</v>
      </c>
    </row>
    <row r="20" spans="1:2" x14ac:dyDescent="0.25">
      <c r="A20" t="s">
        <v>70</v>
      </c>
      <c r="B20" s="18">
        <f>Forecast!B17+B19</f>
        <v>43743808266.306496</v>
      </c>
    </row>
    <row r="21" spans="1:2" x14ac:dyDescent="0.25">
      <c r="A21" t="s">
        <v>71</v>
      </c>
      <c r="B21" s="18">
        <f>-Assumptions!B30</f>
        <v>-2761500000</v>
      </c>
    </row>
    <row r="22" spans="1:2" x14ac:dyDescent="0.25">
      <c r="A22" t="s">
        <v>72</v>
      </c>
      <c r="B22" s="18">
        <f>B20+B21</f>
        <v>40982308266.306496</v>
      </c>
    </row>
    <row r="23" spans="1:2" x14ac:dyDescent="0.25">
      <c r="A23" s="19" t="s">
        <v>73</v>
      </c>
      <c r="B23" s="25">
        <f>B22/Assumptions!B31</f>
        <v>278.6016877383174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249.01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318.848174577432</v>
      </c>
    </row>
    <row r="29" spans="1:2" x14ac:dyDescent="0.25">
      <c r="A29" s="19" t="s">
        <v>81</v>
      </c>
      <c r="B29" s="11">
        <f>B28/B26-1</f>
        <v>0.2804633331088391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0.042201</v>
      </c>
      <c r="B5" s="31">
        <v>537.816172225625</v>
      </c>
      <c r="C5" s="31">
        <v>593.8008698494718</v>
      </c>
      <c r="D5" s="31">
        <v>684.3536283187856</v>
      </c>
      <c r="E5" s="31">
        <v>851.9726783262969</v>
      </c>
      <c r="F5" s="31">
        <v>1257.1904977324364</v>
      </c>
    </row>
    <row r="6" spans="1:6" x14ac:dyDescent="0.25">
      <c r="A6" s="30">
        <v>0.052201</v>
      </c>
      <c r="B6" s="31">
        <v>391.29809153121585</v>
      </c>
      <c r="C6" s="31">
        <v>409.07902297893884</v>
      </c>
      <c r="D6" s="31">
        <v>434.6025984795575</v>
      </c>
      <c r="E6" s="31">
        <v>473.1000986417578</v>
      </c>
      <c r="F6" s="31">
        <v>535.885334867419</v>
      </c>
    </row>
    <row r="7" spans="1:6" x14ac:dyDescent="0.25">
      <c r="A7" s="30">
        <v>0.062201</v>
      </c>
      <c r="B7" s="31">
        <v>306.8093661455347</v>
      </c>
      <c r="C7" s="31">
        <v>311.74874134322243</v>
      </c>
      <c r="D7" s="32">
        <v>318.8485657924303</v>
      </c>
      <c r="E7" s="31">
        <v>329.1152286976176</v>
      </c>
      <c r="F7" s="31">
        <v>344.29508412075626</v>
      </c>
    </row>
    <row r="8" spans="1:6" x14ac:dyDescent="0.25">
      <c r="A8" s="30">
        <v>0.072201</v>
      </c>
      <c r="B8" s="31">
        <v>251.8198737053311</v>
      </c>
      <c r="C8" s="31">
        <v>251.59413080365573</v>
      </c>
      <c r="D8" s="31">
        <v>251.94095442105817</v>
      </c>
      <c r="E8" s="31">
        <v>253.06385863981527</v>
      </c>
      <c r="F8" s="31">
        <v>255.27577077425522</v>
      </c>
    </row>
    <row r="9" spans="1:6" x14ac:dyDescent="0.25">
      <c r="A9" s="30">
        <v>0.082201</v>
      </c>
      <c r="B9" s="31">
        <v>213.1622759223606</v>
      </c>
      <c r="C9" s="31">
        <v>210.6914225768582</v>
      </c>
      <c r="D9" s="31">
        <v>208.2729723866401</v>
      </c>
      <c r="E9" s="31">
        <v>205.92198344119248</v>
      </c>
      <c r="F9" s="31">
        <v>203.65989424121562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9890600000</v>
      </c>
      <c r="C5" s="18">
        <v>9675900000</v>
      </c>
      <c r="D5" s="18">
        <v>9835600000</v>
      </c>
      <c r="E5" s="18">
        <v>10173400000</v>
      </c>
      <c r="F5" s="6" t="s">
        <v>91</v>
      </c>
    </row>
    <row r="6" spans="1:6" x14ac:dyDescent="0.25">
      <c r="A6" t="s">
        <v>51</v>
      </c>
      <c r="B6" s="18">
        <v>2469000000</v>
      </c>
      <c r="C6" s="18">
        <v>2280400000</v>
      </c>
      <c r="D6" s="18">
        <v>1847700000</v>
      </c>
      <c r="E6" s="18">
        <v>2901900000</v>
      </c>
      <c r="F6" s="6" t="s">
        <v>92</v>
      </c>
    </row>
    <row r="7" spans="1:6" x14ac:dyDescent="0.25">
      <c r="A7" t="s">
        <v>93</v>
      </c>
      <c r="B7" s="18">
        <v>779900000</v>
      </c>
      <c r="C7" s="18">
        <v>673200000</v>
      </c>
      <c r="D7" s="18">
        <v>494800000</v>
      </c>
      <c r="E7" s="18">
        <v>518400000</v>
      </c>
      <c r="F7" s="6" t="s">
        <v>94</v>
      </c>
    </row>
    <row r="8" spans="1:6" x14ac:dyDescent="0.25">
      <c r="A8" t="s">
        <v>95</v>
      </c>
      <c r="B8" s="18">
        <v>235400000</v>
      </c>
      <c r="C8" s="18">
        <v>359800000</v>
      </c>
      <c r="D8" s="18">
        <v>311400000</v>
      </c>
      <c r="E8" s="18">
        <v>243200000</v>
      </c>
      <c r="F8" s="6" t="s">
        <v>96</v>
      </c>
    </row>
    <row r="9" spans="1:6" x14ac:dyDescent="0.25">
      <c r="A9" t="s">
        <v>97</v>
      </c>
      <c r="B9" s="18">
        <v>1057600000</v>
      </c>
      <c r="C9" s="18">
        <v>155200000</v>
      </c>
      <c r="D9" s="18">
        <v>648700000</v>
      </c>
      <c r="E9" s="18">
        <v>890300000</v>
      </c>
      <c r="F9" s="6" t="s">
        <v>98</v>
      </c>
    </row>
    <row r="10" spans="1:6" x14ac:dyDescent="0.25">
      <c r="A10" t="s">
        <v>99</v>
      </c>
      <c r="B10" s="18">
        <v>6577200000</v>
      </c>
      <c r="C10" s="18">
        <v>6630300000</v>
      </c>
      <c r="D10" s="18">
        <v>7338200000</v>
      </c>
      <c r="E10" s="18">
        <v>6614000000</v>
      </c>
      <c r="F10" s="6" t="s">
        <v>100</v>
      </c>
    </row>
    <row r="11" spans="1:6" x14ac:dyDescent="0.25">
      <c r="A11" t="s">
        <v>101</v>
      </c>
      <c r="B11" s="18">
        <v>3815700000</v>
      </c>
      <c r="C11" s="18">
        <v>2375000000</v>
      </c>
      <c r="D11" s="18">
        <v>1049900000</v>
      </c>
      <c r="E11" s="18">
        <v>4892800000</v>
      </c>
      <c r="F11" s="6" t="s">
        <v>102</v>
      </c>
    </row>
    <row r="12" spans="1:6" x14ac:dyDescent="0.25">
      <c r="A12" t="s">
        <v>34</v>
      </c>
      <c r="B12" s="34">
        <v>147100000</v>
      </c>
      <c r="C12" s="34">
        <v>145900000</v>
      </c>
      <c r="D12" s="34">
        <v>145600000</v>
      </c>
      <c r="E12" s="34">
        <v>146000000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