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<sst xmlns="http://schemas.openxmlformats.org/spreadsheetml/2006/main" count="111" uniqueCount="99">
  <si>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Biogen Inc. (BIIB)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</si>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</sst>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-0.00935320400320594</v>
      </c>
    </row>
    <row r="7" spans="1:2" x14ac:dyDescent="0.25">
      <c r="A7" t="s">
        <v>5</v>
      </c>
      <c r="B7" s="6">
        <v>0.23960289020005515</v>
      </c>
    </row>
    <row r="8" spans="1:2" x14ac:dyDescent="0.25">
      <c r="A8" t="s">
        <v>6</v>
      </c>
      <c r="B8" s="6">
        <v>0.15650297351694092</v>
      </c>
    </row>
    <row r="9" spans="1:2" x14ac:dyDescent="0.25">
      <c r="A9" t="s">
        <v>7</v>
      </c>
      <c r="B9" s="6">
        <v>0.06242275871238571</v>
      </c>
    </row>
    <row r="10" spans="1:2" x14ac:dyDescent="0.25">
      <c r="A10" t="s">
        <v>8</v>
      </c>
      <c r="B10" s="6">
        <v>0.029137881277778045</v>
      </c>
    </row>
    <row r="11" spans="1:2" x14ac:dyDescent="0.25">
      <c r="A11" t="s">
        <v>9</v>
      </c>
      <c r="B11" s="6">
        <v>-0.9718221665623044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10.65052391147773</v>
      </c>
    </row>
    <row r="14" spans="1:3" x14ac:dyDescent="0.25">
      <c r="A14" t="s">
        <v>12</v>
      </c>
      <c r="B14" s="6">
        <v>0.08422042599027438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0.44456999999999997</v>
      </c>
      <c r="C19" s="8" t="s">
        <v>19</v>
      </c>
    </row>
    <row r="20" spans="1:2" x14ac:dyDescent="0.25">
      <c r="A20" t="s">
        <v>20</v>
      </c>
      <c r="B20" s="10">
        <f>B17+B19*B18</f>
        <v>0.07443135000000001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31840987136</v>
      </c>
    </row>
    <row r="23" spans="1:2" x14ac:dyDescent="0.25">
      <c r="A23" t="s">
        <v>24</v>
      </c>
      <c r="B23" s="11">
        <v>6577200000</v>
      </c>
    </row>
    <row r="24" spans="1:2" x14ac:dyDescent="0.25">
      <c r="A24" t="s">
        <v>25</v>
      </c>
      <c r="B24" s="10">
        <f>B22/(B22+B23)</f>
        <v>0.828799834393102</v>
      </c>
    </row>
    <row r="25" spans="1:2" x14ac:dyDescent="0.25">
      <c r="A25" t="s">
        <v>26</v>
      </c>
      <c r="B25" s="10">
        <f>1-B24</f>
        <v>0.171200165606898</v>
      </c>
    </row>
    <row r="26" spans="1:2" x14ac:dyDescent="0.25">
      <c r="A26" t="s">
        <v>27</v>
      </c>
      <c r="B26" s="12">
        <f>B24*B20+B25*B21*(1-B8)</f>
        <v>0.06890614394818385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9890600000</v>
      </c>
      <c r="C29" s="8" t="s">
        <v>30</v>
      </c>
    </row>
    <row r="30" spans="1:2" x14ac:dyDescent="0.25">
      <c r="A30" t="s">
        <v>31</v>
      </c>
      <c r="B30" s="11">
        <v>2761500000</v>
      </c>
    </row>
    <row r="31" spans="1:2" x14ac:dyDescent="0.25">
      <c r="A31" t="s">
        <v>32</v>
      </c>
      <c r="B31" s="13">
        <v>147100000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-0.00935320400320594</v>
      </c>
      <c r="C5" s="10">
        <f>Assumptions!B6</f>
        <v>-0.00935320400320594</v>
      </c>
      <c r="D5" s="10">
        <f>Assumptions!B6</f>
        <v>-0.00935320400320594</v>
      </c>
      <c r="E5" s="10">
        <f>Assumptions!B6</f>
        <v>-0.00935320400320594</v>
      </c>
      <c r="F5" s="10">
        <f>Assumptions!B6</f>
        <v>-0.00935320400320594</v>
      </c>
    </row>
    <row r="6" spans="1:6" x14ac:dyDescent="0.25">
      <c r="A6" t="s">
        <v>43</v>
      </c>
      <c r="B6" s="18">
        <f>Assumptions!B29*(1+B5)</f>
        <v>9798091200.485891</v>
      </c>
      <c r="C6" s="18">
        <f>B6*(1+C5)</f>
        <v>9706447654.64573</v>
      </c>
      <c r="D6" s="18">
        <f>C6*(1+D5)</f>
        <v>9615661269.585388</v>
      </c>
      <c r="E6" s="18">
        <f>D6*(1+E5)</f>
        <v>9525724028.10523</v>
      </c>
      <c r="F6" s="18">
        <f>E6*(1+F5)</f>
        <v>9436627987.99212</v>
      </c>
    </row>
    <row r="7" spans="1:6" x14ac:dyDescent="0.25">
      <c r="A7" t="s">
        <v>5</v>
      </c>
      <c r="B7" s="10">
        <f>Assumptions!B7</f>
        <v>0.23960289020005515</v>
      </c>
      <c r="C7" s="10">
        <f>Assumptions!B7</f>
        <v>0.23960289020005515</v>
      </c>
      <c r="D7" s="10">
        <f>Assumptions!B7</f>
        <v>0.23960289020005515</v>
      </c>
      <c r="E7" s="10">
        <f>Assumptions!B7</f>
        <v>0.23960289020005515</v>
      </c>
      <c r="F7" s="10">
        <f>Assumptions!B7</f>
        <v>0.23960289020005515</v>
      </c>
    </row>
    <row r="8" spans="1:6" x14ac:dyDescent="0.25">
      <c r="A8" t="s">
        <v>44</v>
      </c>
      <c r="B8" s="18">
        <f>B6*B7</f>
        <v>2347650970.0801477</v>
      </c>
      <c r="C8" s="18">
        <f>C6*C7</f>
        <v>2325692911.6286635</v>
      </c>
      <c r="D8" s="18">
        <f>D6*D7</f>
        <v>2303940231.377391</v>
      </c>
      <c r="E8" s="18">
        <f>E6*E7</f>
        <v>2282391008.3821244</v>
      </c>
      <c r="F8" s="18">
        <f>F6*F7</f>
        <v>2261043339.6656437</v>
      </c>
    </row>
    <row r="9" spans="1:6" x14ac:dyDescent="0.25">
      <c r="A9" t="s">
        <v>45</v>
      </c>
      <c r="B9" s="18">
        <f>B8*(1-Assumptions!B8)</f>
        <v>1980236612.4826736</v>
      </c>
      <c r="C9" s="18">
        <f>C8*(1-Assumptions!B8)</f>
        <v>1961715055.4715054</v>
      </c>
      <c r="D9" s="18">
        <f>D8*(1-Assumptions!B8)</f>
        <v>1943366734.3615203</v>
      </c>
      <c r="E9" s="18">
        <f>E8*(1-Assumptions!B8)</f>
        <v>1925190028.8419926</v>
      </c>
      <c r="F9" s="18">
        <f>F8*(1-Assumptions!B8)</f>
        <v>1907183333.7572956</v>
      </c>
    </row>
    <row r="10" spans="1:6" x14ac:dyDescent="0.25">
      <c r="A10" t="s">
        <v>46</v>
      </c>
      <c r="B10" s="18">
        <f>B6*Assumptions!B9</f>
        <v>611623882.8498805</v>
      </c>
      <c r="C10" s="18">
        <f>C6*Assumptions!B9</f>
        <v>605903239.9003525</v>
      </c>
      <c r="D10" s="18">
        <f>D6*Assumptions!B9</f>
        <v>600236103.2913611</v>
      </c>
      <c r="E10" s="18">
        <f>E6*Assumptions!B9</f>
        <v>594621972.5671877</v>
      </c>
      <c r="F10" s="18">
        <f>F6*Assumptions!B9</f>
        <v>589060351.952978</v>
      </c>
    </row>
    <row r="11" spans="1:6" x14ac:dyDescent="0.25">
      <c r="A11" t="s">
        <v>47</v>
      </c>
      <c r="B11" s="18">
        <f>-B6*Assumptions!B10</f>
        <v>-285495618.1485997</v>
      </c>
      <c r="C11" s="18">
        <f>-C6*Assumptions!B10</f>
        <v>-282825319.3900344</v>
      </c>
      <c r="D11" s="18">
        <f>-D6*Assumptions!B10</f>
        <v>-280179996.48050755</v>
      </c>
      <c r="E11" s="18">
        <f>-E6*Assumptions!B10</f>
        <v>-277559415.8158079</v>
      </c>
      <c r="F11" s="18">
        <f>-F6*Assumptions!B10</f>
        <v>-274963345.97667193</v>
      </c>
    </row>
    <row r="12" spans="1:6" x14ac:dyDescent="0.25">
      <c r="A12" t="s">
        <v>48</v>
      </c>
      <c r="B12" s="18">
        <f>-(B6-Assumptions!B29)*Assumptions!B11</f>
        <v>-89902101.96987893</v>
      </c>
      <c r="C12" s="18">
        <f>-(C6-B6)*Assumptions!B11</f>
        <v>-89061229.26983836</v>
      </c>
      <c r="D12" s="18">
        <f>-(D6-C6)*Assumptions!B11</f>
        <v>-88228221.4237001</v>
      </c>
      <c r="E12" s="18">
        <f>-(E6-D6)*Assumptions!B11</f>
        <v>-87403004.86988415</v>
      </c>
      <c r="F12" s="18">
        <f>-(F6-E6)*Assumptions!B11</f>
        <v>-86585506.73484413</v>
      </c>
    </row>
    <row r="13" spans="1:6" x14ac:dyDescent="0.25">
      <c r="A13" s="19" t="s">
        <v>49</v>
      </c>
      <c r="B13" s="20">
        <f>B9+B10+B11+B12</f>
        <v>2216462775.214075</v>
      </c>
      <c r="C13" s="20">
        <f>C9+C10+C11+C12</f>
        <v>2195731746.711985</v>
      </c>
      <c r="D13" s="20">
        <f>D9+D10+D11+D12</f>
        <v>2175194619.7486744</v>
      </c>
      <c r="E13" s="20">
        <f>E9+E10+E11+E12</f>
        <v>2154849580.7234883</v>
      </c>
      <c r="F13" s="20">
        <f>F9+F10+F11+F12</f>
        <v>2134694832.9987574</v>
      </c>
    </row>
    <row r="14" spans="1:6" x14ac:dyDescent="0.25">
      <c r="A14" t="s">
        <v>50</v>
      </c>
      <c r="B14" s="21">
        <f>1/(1+Assumptions!$B$26)^(1-0.5*Assumptions!$B$32)</f>
        <v>0.9672310133614755</v>
      </c>
      <c r="C14" s="21">
        <f>1/(1+Assumptions!$B$26)^(2-0.5*Assumptions!$B$32)</f>
        <v>0.9048792719900044</v>
      </c>
      <c r="D14" s="21">
        <f>1/(1+Assumptions!$B$26)^(3-0.5*Assumptions!$B$32)</f>
        <v>0.8465469836740588</v>
      </c>
      <c r="E14" s="21">
        <f>1/(1+Assumptions!$B$26)^(4-0.5*Assumptions!$B$32)</f>
        <v>0.7919750377214557</v>
      </c>
      <c r="F14" s="21">
        <f>1/(1+Assumptions!$B$26)^(5-0.5*Assumptions!$B$32)</f>
        <v>0.7409210267948908</v>
      </c>
    </row>
    <row r="15" spans="1:6" x14ac:dyDescent="0.25">
      <c r="A15" s="19" t="s">
        <v>51</v>
      </c>
      <c r="B15" s="20">
        <f>B13*B14</f>
        <v>2143831536.1482983</v>
      </c>
      <c r="C15" s="20">
        <f>C13*C14</f>
        <v>1986872144.4500818</v>
      </c>
      <c r="D15" s="20">
        <f>D13*D14</f>
        <v>1841404444.2522817</v>
      </c>
      <c r="E15" s="20">
        <f>E13*E14</f>
        <v>1706587077.9775476</v>
      </c>
      <c r="F15" s="20">
        <f>F13*F14</f>
        <v>1581640287.5591872</v>
      </c>
    </row>
    <row r="17" spans="1:2" x14ac:dyDescent="0.25">
      <c r="A17" s="22" t="s">
        <v>52</v>
      </c>
      <c r="B17" s="23">
        <f>SUM(B15:F15)</f>
        <v>9260335490.387398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2134694832.9987574</v>
      </c>
    </row>
    <row r="5" spans="1:2" x14ac:dyDescent="0.25">
      <c r="A5" t="s">
        <v>56</v>
      </c>
      <c r="B5" s="18">
        <f>IF(Assumptions!$B$33=0,B4,B4-Forecast!F11-Forecast!F10-Forecast!F12)</f>
        <v>2185493371.4261384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0.2968401038827203</v>
      </c>
    </row>
    <row r="7" spans="1:2" x14ac:dyDescent="0.25">
      <c r="A7" t="s">
        <v>58</v>
      </c>
      <c r="B7" s="18">
        <f>-MAX(Forecast!F9,0)*B6</f>
        <v>-648742079.4091315</v>
      </c>
    </row>
    <row r="8" spans="1:2" x14ac:dyDescent="0.25">
      <c r="A8" t="s">
        <v>59</v>
      </c>
      <c r="B8" s="18">
        <f>IF(OR(Assumptions!$B$33=0,Assumptions!B12&lt;=0),B5,MAX(B5+B7,0))</f>
        <v>1536751292.0170069</v>
      </c>
    </row>
    <row r="9" spans="1:2" x14ac:dyDescent="0.25">
      <c r="A9" t="s">
        <v>60</v>
      </c>
      <c r="B9" s="18">
        <f>B8*(1+Assumptions!B12)/(Assumptions!B26-Assumptions!B12)</f>
        <v>35875846354.81494</v>
      </c>
    </row>
    <row r="10" spans="1:2" x14ac:dyDescent="0.25">
      <c r="A10" t="s">
        <v>61</v>
      </c>
      <c r="B10" s="18">
        <f>B9/(1+Assumptions!B26)^(5-0.5*Assumptions!B32)</f>
        <v>26581168918.345226</v>
      </c>
    </row>
    <row r="11" spans="1:2" x14ac:dyDescent="0.25">
      <c r="A11" t="s">
        <v>62</v>
      </c>
      <c r="B11" s="18">
        <f>Forecast!B17+B10</f>
        <v>35841504408.73262</v>
      </c>
    </row>
    <row r="12" spans="1:2" x14ac:dyDescent="0.25">
      <c r="A12" t="s">
        <v>63</v>
      </c>
      <c r="B12" s="18">
        <f>-Assumptions!B30</f>
        <v>-2761500000</v>
      </c>
    </row>
    <row r="13" spans="1:2" x14ac:dyDescent="0.25">
      <c r="A13" t="s">
        <v>64</v>
      </c>
      <c r="B13" s="18">
        <f>B11+B12</f>
        <v>33080004408.73262</v>
      </c>
    </row>
    <row r="14" spans="1:2" x14ac:dyDescent="0.25">
      <c r="A14" s="19" t="s">
        <v>65</v>
      </c>
      <c r="B14" s="24">
        <f>B13/Assumptions!B31</f>
        <v>224.88106328166296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2850103691.618622</v>
      </c>
    </row>
    <row r="18" spans="1:2" x14ac:dyDescent="0.25">
      <c r="A18" t="s">
        <v>60</v>
      </c>
      <c r="B18" s="18">
        <f>B17*Assumptions!B13</f>
        <v>30355097517.77508</v>
      </c>
    </row>
    <row r="19" spans="1:2" x14ac:dyDescent="0.25">
      <c r="A19" t="s">
        <v>61</v>
      </c>
      <c r="B19" s="18">
        <f>B18/(1+Assumptions!B26)^(5-0.5*Assumptions!B32)</f>
        <v>22490730021.328953</v>
      </c>
    </row>
    <row r="20" spans="1:2" x14ac:dyDescent="0.25">
      <c r="A20" t="s">
        <v>62</v>
      </c>
      <c r="B20" s="18">
        <f>Forecast!B17+B19</f>
        <v>31751065511.71635</v>
      </c>
    </row>
    <row r="21" spans="1:2" x14ac:dyDescent="0.25">
      <c r="A21" t="s">
        <v>63</v>
      </c>
      <c r="B21" s="18">
        <f>-Assumptions!B30</f>
        <v>-2761500000</v>
      </c>
    </row>
    <row r="22" spans="1:2" x14ac:dyDescent="0.25">
      <c r="A22" t="s">
        <v>64</v>
      </c>
      <c r="B22" s="18">
        <f>B20+B21</f>
        <v>28989565511.71635</v>
      </c>
    </row>
    <row r="23" spans="1:2" x14ac:dyDescent="0.25">
      <c r="A23" s="19" t="s">
        <v>65</v>
      </c>
      <c r="B23" s="25">
        <f>B22/Assumptions!B31</f>
        <v>197.07386479752788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215.5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224.88106328166296</v>
      </c>
    </row>
    <row r="29" spans="1:2" x14ac:dyDescent="0.25">
      <c r="A29" s="19" t="s">
        <v>73</v>
      </c>
      <c r="B29" s="12">
        <f>B28/B26-1</f>
        <v>0.04353161615620871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0.048906</v>
      </c>
      <c r="B5" s="31">
        <v>341.92680735327826</v>
      </c>
      <c r="C5" s="31">
        <v>369.5288143788443</v>
      </c>
      <c r="D5" s="31">
        <v>408.3792557518556</v>
      </c>
      <c r="E5" s="31">
        <v>467.40262714626203</v>
      </c>
      <c r="F5" s="31">
        <v>568.3588847191845</v>
      </c>
    </row>
    <row r="6" spans="1:6" x14ac:dyDescent="0.25">
      <c r="A6" s="30">
        <v>0.058906</v>
      </c>
      <c r="B6" s="31">
        <v>263.78169097954043</v>
      </c>
      <c r="C6" s="31">
        <v>275.1617826649885</v>
      </c>
      <c r="D6" s="31">
        <v>289.697166162412</v>
      </c>
      <c r="E6" s="31">
        <v>309.0251962486615</v>
      </c>
      <c r="F6" s="31">
        <v>336.1530551722263</v>
      </c>
    </row>
    <row r="7" spans="1:6" x14ac:dyDescent="0.25">
      <c r="A7" s="30">
        <v>0.068906</v>
      </c>
      <c r="B7" s="31">
        <v>214.53468712123816</v>
      </c>
      <c r="C7" s="31">
        <v>219.24612258875595</v>
      </c>
      <c r="D7" s="32">
        <v>224.8817851362542</v>
      </c>
      <c r="E7" s="31">
        <v>231.79800556617235</v>
      </c>
      <c r="F7" s="31">
        <v>240.5613021418354</v>
      </c>
    </row>
    <row r="8" spans="1:6" x14ac:dyDescent="0.25">
      <c r="A8" s="30">
        <v>0.078906</v>
      </c>
      <c r="B8" s="31">
        <v>180.6241996262649</v>
      </c>
      <c r="C8" s="31">
        <v>182.2054618180694</v>
      </c>
      <c r="D8" s="31">
        <v>183.96380210873855</v>
      </c>
      <c r="E8" s="31">
        <v>185.953532269486</v>
      </c>
      <c r="F8" s="31">
        <v>188.253704093943</v>
      </c>
    </row>
    <row r="9" spans="1:6" x14ac:dyDescent="0.25">
      <c r="A9" s="30">
        <v>0.088906</v>
      </c>
      <c r="B9" s="31">
        <v>157.13379000241645</v>
      </c>
      <c r="C9" s="31">
        <v>157.70332313642035</v>
      </c>
      <c r="D9" s="31">
        <v>158.2728562704242</v>
      </c>
      <c r="E9" s="31">
        <v>158.84238940442805</v>
      </c>
      <c r="F9" s="31">
        <v>159.41192253843192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9890600000</v>
      </c>
      <c r="C5" s="18">
        <v>9675900000</v>
      </c>
      <c r="D5" s="18">
        <v>9835600000</v>
      </c>
      <c r="E5" s="18">
        <v>10173400000</v>
      </c>
      <c r="F5" s="8" t="s">
        <v>84</v>
      </c>
    </row>
    <row r="6" spans="1:6" x14ac:dyDescent="0.25">
      <c r="A6" t="s">
        <v>44</v>
      </c>
      <c r="B6" s="18">
        <v>2469000000</v>
      </c>
      <c r="C6" s="18">
        <v>2280400000</v>
      </c>
      <c r="D6" s="18">
        <v>1847700000</v>
      </c>
      <c r="E6" s="18">
        <v>2901900000</v>
      </c>
      <c r="F6" s="8" t="s">
        <v>85</v>
      </c>
    </row>
    <row r="7" spans="1:6" x14ac:dyDescent="0.25">
      <c r="A7" t="s">
        <v>86</v>
      </c>
      <c r="B7" s="18">
        <v>779900000</v>
      </c>
      <c r="C7" s="18">
        <v>673200000</v>
      </c>
      <c r="D7" s="18">
        <v>494800000</v>
      </c>
      <c r="E7" s="18">
        <v>518400000</v>
      </c>
      <c r="F7" s="8" t="s">
        <v>87</v>
      </c>
    </row>
    <row r="8" spans="1:6" x14ac:dyDescent="0.25">
      <c r="A8" t="s">
        <v>88</v>
      </c>
      <c r="B8" s="18">
        <v>235400000</v>
      </c>
      <c r="C8" s="18">
        <v>359800000</v>
      </c>
      <c r="D8" s="18">
        <v>311400000</v>
      </c>
      <c r="E8" s="18">
        <v>243200000</v>
      </c>
      <c r="F8" s="8" t="s">
        <v>89</v>
      </c>
    </row>
    <row r="9" spans="1:6" x14ac:dyDescent="0.25">
      <c r="A9" t="s">
        <v>90</v>
      </c>
      <c r="B9" s="18">
        <v>1057600000</v>
      </c>
      <c r="C9" s="18">
        <v>155200000</v>
      </c>
      <c r="D9" s="18">
        <v>648700000</v>
      </c>
      <c r="E9" s="18">
        <v>890300000</v>
      </c>
      <c r="F9" s="8" t="s">
        <v>91</v>
      </c>
    </row>
    <row r="10" spans="1:6" x14ac:dyDescent="0.25">
      <c r="A10" t="s">
        <v>92</v>
      </c>
      <c r="B10" s="18">
        <v>6577200000</v>
      </c>
      <c r="C10" s="18">
        <v>6630300000</v>
      </c>
      <c r="D10" s="18">
        <v>7338200000</v>
      </c>
      <c r="E10" s="18">
        <v>6614000000</v>
      </c>
      <c r="F10" s="8" t="s">
        <v>93</v>
      </c>
    </row>
    <row r="11" spans="1:6" x14ac:dyDescent="0.25">
      <c r="A11" t="s">
        <v>94</v>
      </c>
      <c r="B11" s="18">
        <v>3815700000</v>
      </c>
      <c r="C11" s="18">
        <v>2375000000</v>
      </c>
      <c r="D11" s="18">
        <v>1049900000</v>
      </c>
      <c r="E11" s="18">
        <v>4892800000</v>
      </c>
      <c r="F11" s="8" t="s">
        <v>95</v>
      </c>
    </row>
    <row r="12" spans="1:6" x14ac:dyDescent="0.25">
      <c r="A12" t="s">
        <v>32</v>
      </c>
      <c r="B12" s="34">
        <v>147100000</v>
      </c>
      <c r="C12" s="34">
        <v>145900000</v>
      </c>
      <c r="D12" s="34">
        <v>145600000</v>
      </c>
      <c r="E12" s="34">
        <v>146000000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