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<sst xmlns="http://schemas.openxmlformats.org/spreadsheetml/2006/main" count="115" uniqueCount="103">
  <si>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Brookfield Infrastructure Partners L.P. (BIP-UN.TO)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</si>
  <si>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</si>
  <si>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</si>
  <si>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</si>
  <si>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</si>
  <si>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</si>
  <si>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</si>
  <si>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</si>
  <si>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</si>
  <si>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</si>
  <si>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</si>
  <si>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</si>
  <si>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</si>
  <si>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</si>
  <si>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</si>
  <si>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</si>
  <si>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</si>
  <si>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</si>
  <si>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</si>
  <si>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</si>
  <si>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</si>
  <si>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</si>
  <si>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</si>
  <si>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</si>
  <si>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</si>
  <si>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</si>
  <si>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</si>
  <si>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</si>
  <si>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</si>
  <si>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</si>
  <si>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</si>
  <si>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</si>
  <si>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</si>
  <si>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</si>
  <si>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</si>
  <si>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</si>
  <si>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</si>
  <si>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</si>
  <si>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</si>
  <si>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</si>
  <si>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</si>
  <si>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</si>
  <si>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</si>
  <si>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</si>
  <si>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</si>
  <si>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</si>
  <si>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</si>
  <si>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</si>
  <si>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</si>
  <si>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</si>
  <si>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</si>
  <si>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</si>
  <si>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</si>
  <si>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</si>
  <si>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</si>
  <si>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</si>
  <si>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</si>
  <si>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</si>
  <si>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</si>
  <si>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</si>
  <si>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</si>
  <si>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</si>
  <si>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</si>
  <si>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</si>
  <si>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</si>
  <si>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</si>
  <si>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</si>
  <si>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</si>
  <si>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</si>
  <si>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</si>
  <si>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</si>
  <si>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</si>
  <si>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</si>
  <si>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</si>
  <si>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</si>
  <si>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</si>
  <si>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</si>
  <si>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</si>
  <si>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</si>
  <si>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</si>
  <si>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</si>
  <si>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</si>
  <si>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</si>
  <si>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</si>
  <si>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</si>
  <si>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</si>
  <si>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</si>
  <si>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</si>
  <si>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</si>
  <si>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</si>
  <si>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</si>
  <si>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</si>
  <si>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</si>
  <si>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</si>
  <si>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</si>
  <si>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</si>
  <si>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</si>
  <si>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</si>
  <si>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</si>
  <si>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Consensus rests on as few as 2 analyst estimate(s).</t>
  </si>
  <si>
    <t>Adjusted: Capital expenditure runs at 20.7% of revenue against depreciation of 16.2%.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</si>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</sst>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0.16989077395144503</v>
      </c>
    </row>
    <row r="7" spans="1:2" x14ac:dyDescent="0.25">
      <c r="A7" t="s">
        <v>5</v>
      </c>
      <c r="B7" s="6">
        <v>0.23847479679649133</v>
      </c>
    </row>
    <row r="8" spans="1:2" x14ac:dyDescent="0.25">
      <c r="A8" t="s">
        <v>6</v>
      </c>
      <c r="B8" s="6">
        <v>0.23753475912943825</v>
      </c>
    </row>
    <row r="9" spans="1:2" x14ac:dyDescent="0.25">
      <c r="A9" t="s">
        <v>7</v>
      </c>
      <c r="B9" s="6">
        <v>0.16243353670466124</v>
      </c>
    </row>
    <row r="10" spans="1:2" x14ac:dyDescent="0.25">
      <c r="A10" t="s">
        <v>8</v>
      </c>
      <c r="B10" s="6">
        <v>0.207072714335992</v>
      </c>
    </row>
    <row r="11" spans="1:2" x14ac:dyDescent="0.25">
      <c r="A11" t="s">
        <v>9</v>
      </c>
      <c r="B11" s="6">
        <v>0.18207762557077625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10.862653152514763</v>
      </c>
    </row>
    <row r="14" spans="1:3" x14ac:dyDescent="0.25">
      <c r="A14" t="s">
        <v>12</v>
      </c>
      <c r="B14" s="6">
        <v>0.0647253467692456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1.0073699999999999</v>
      </c>
      <c r="C19" s="8" t="s">
        <v>19</v>
      </c>
    </row>
    <row r="20" spans="1:2" x14ac:dyDescent="0.25">
      <c r="A20" t="s">
        <v>20</v>
      </c>
      <c r="B20" s="10">
        <f>B17+B19*B18</f>
        <v>0.08840535</v>
      </c>
    </row>
    <row r="21" spans="1:3" x14ac:dyDescent="0.25">
      <c r="A21" t="s">
        <v>21</v>
      </c>
      <c r="B21" s="6">
        <v>0.05559850483378629</v>
      </c>
      <c r="C21" s="8" t="s">
        <v>22</v>
      </c>
    </row>
    <row r="22" spans="1:2" x14ac:dyDescent="0.25">
      <c r="A22" t="s">
        <v>23</v>
      </c>
      <c r="B22" s="11">
        <v>39907979264</v>
      </c>
    </row>
    <row r="23" spans="1:2" x14ac:dyDescent="0.25">
      <c r="A23" t="s">
        <v>24</v>
      </c>
      <c r="B23" s="11">
        <v>69117000000</v>
      </c>
    </row>
    <row r="24" spans="1:2" x14ac:dyDescent="0.25">
      <c r="A24" t="s">
        <v>25</v>
      </c>
      <c r="B24" s="10">
        <f>B22/(B22+B23)</f>
        <v>0.3660443646346796</v>
      </c>
    </row>
    <row r="25" spans="1:2" x14ac:dyDescent="0.25">
      <c r="A25" t="s">
        <v>26</v>
      </c>
      <c r="B25" s="10">
        <f>1-B24</f>
        <v>0.6339556353653204</v>
      </c>
    </row>
    <row r="26" spans="1:2" x14ac:dyDescent="0.25">
      <c r="A26" t="s">
        <v>27</v>
      </c>
      <c r="B26" s="12">
        <f>B24*B20+B25*B21*(1-B8)</f>
        <v>0.05923488142769109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23100000000</v>
      </c>
      <c r="C29" s="8" t="s">
        <v>30</v>
      </c>
    </row>
    <row r="30" spans="1:2" x14ac:dyDescent="0.25">
      <c r="A30" t="s">
        <v>31</v>
      </c>
      <c r="B30" s="11">
        <v>66785000000</v>
      </c>
    </row>
    <row r="31" spans="1:2" x14ac:dyDescent="0.25">
      <c r="A31" t="s">
        <v>32</v>
      </c>
      <c r="B31" s="13">
        <v>460100000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0.16989077395144503</v>
      </c>
      <c r="C5" s="10">
        <f>Assumptions!B6</f>
        <v>0.16989077395144503</v>
      </c>
      <c r="D5" s="10">
        <f>Assumptions!B6</f>
        <v>0.16989077395144503</v>
      </c>
      <c r="E5" s="10">
        <f>Assumptions!B6</f>
        <v>0.16989077395144503</v>
      </c>
      <c r="F5" s="10">
        <f>Assumptions!B6</f>
        <v>0.16989077395144503</v>
      </c>
    </row>
    <row r="6" spans="1:6" x14ac:dyDescent="0.25">
      <c r="A6" t="s">
        <v>43</v>
      </c>
      <c r="B6" s="18">
        <f>Assumptions!B29*(1+B5)</f>
        <v>27024476878.27838</v>
      </c>
      <c r="C6" s="18">
        <f>B6*(1+C5)</f>
        <v>31615686170.762028</v>
      </c>
      <c r="D6" s="18">
        <f>C6*(1+D5)</f>
        <v>36986899563.31879</v>
      </c>
      <c r="E6" s="18">
        <f>D6*(1+E5)</f>
        <v>43270632556.19538</v>
      </c>
      <c r="F6" s="18">
        <f>E6*(1+F5)</f>
        <v>50621913810.53601</v>
      </c>
    </row>
    <row r="7" spans="1:6" x14ac:dyDescent="0.25">
      <c r="A7" t="s">
        <v>5</v>
      </c>
      <c r="B7" s="10">
        <f>Assumptions!B7</f>
        <v>0.23847479679649133</v>
      </c>
      <c r="C7" s="10">
        <f>Assumptions!B7</f>
        <v>0.23847479679649133</v>
      </c>
      <c r="D7" s="10">
        <f>Assumptions!B7</f>
        <v>0.23847479679649133</v>
      </c>
      <c r="E7" s="10">
        <f>Assumptions!B7</f>
        <v>0.23847479679649133</v>
      </c>
      <c r="F7" s="10">
        <f>Assumptions!B7</f>
        <v>0.23847479679649133</v>
      </c>
    </row>
    <row r="8" spans="1:6" x14ac:dyDescent="0.25">
      <c r="A8" t="s">
        <v>44</v>
      </c>
      <c r="B8" s="18">
        <f>B6*B7</f>
        <v>6444656632.078916</v>
      </c>
      <c r="C8" s="18">
        <f>C6*C7</f>
        <v>7539544335.154116</v>
      </c>
      <c r="D8" s="18">
        <f>D6*D7</f>
        <v>8820443357.494682</v>
      </c>
      <c r="E8" s="18">
        <f>E6*E7</f>
        <v>10318955306.094336</v>
      </c>
      <c r="F8" s="18">
        <f>F6*F7</f>
        <v>12072050609.417074</v>
      </c>
    </row>
    <row r="9" spans="1:6" x14ac:dyDescent="0.25">
      <c r="A9" t="s">
        <v>45</v>
      </c>
      <c r="B9" s="18">
        <f>B8*(1-Assumptions!B8)</f>
        <v>4913826671.306114</v>
      </c>
      <c r="C9" s="18">
        <f>C8*(1-Assumptions!B8)</f>
        <v>5748640487.557563</v>
      </c>
      <c r="D9" s="18">
        <f>D8*(1-Assumptions!B8)</f>
        <v>6725281469.15733</v>
      </c>
      <c r="E9" s="18">
        <f>E8*(1-Assumptions!B8)</f>
        <v>7867844742.993779</v>
      </c>
      <c r="F9" s="18">
        <f>F8*(1-Assumptions!B8)</f>
        <v>9204518975.710802</v>
      </c>
    </row>
    <row r="10" spans="1:6" x14ac:dyDescent="0.25">
      <c r="A10" t="s">
        <v>46</v>
      </c>
      <c r="B10" s="18">
        <f>B6*Assumptions!B9</f>
        <v>4389681356.9321</v>
      </c>
      <c r="C10" s="18">
        <f>C6*Assumptions!B9</f>
        <v>5135447720.061524</v>
      </c>
      <c r="D10" s="18">
        <f>D6*Assumptions!B9</f>
        <v>6007912907.80996</v>
      </c>
      <c r="E10" s="18">
        <f>E6*Assumptions!B9</f>
        <v>7028601881.550672</v>
      </c>
      <c r="F10" s="18">
        <f>F6*Assumptions!B9</f>
        <v>8222696495.003899</v>
      </c>
    </row>
    <row r="11" spans="1:6" x14ac:dyDescent="0.25">
      <c r="A11" t="s">
        <v>47</v>
      </c>
      <c r="B11" s="18">
        <f>-B6*Assumptions!B10</f>
        <v>-5596031780.69536</v>
      </c>
      <c r="C11" s="18">
        <f>-C6*Assumptions!B10</f>
        <v>-6546745950.974578</v>
      </c>
      <c r="D11" s="18">
        <f>-D6*Assumptions!B10</f>
        <v>-7658977687.449139</v>
      </c>
      <c r="E11" s="18">
        <f>-E6*Assumptions!B10</f>
        <v>-8960167334.446722</v>
      </c>
      <c r="F11" s="18">
        <f>-F6*Assumptions!B10</f>
        <v>-10482417097.630331</v>
      </c>
    </row>
    <row r="12" spans="1:6" x14ac:dyDescent="0.25">
      <c r="A12" t="s">
        <v>48</v>
      </c>
      <c r="B12" s="18">
        <f>-(B6-Assumptions!B29)*Assumptions!B11</f>
        <v>-714559431.60434</v>
      </c>
      <c r="C12" s="18">
        <f>-(C6-B6)*Assumptions!B11</f>
        <v>-835956486.4739059</v>
      </c>
      <c r="D12" s="18">
        <f>-(D6-C6)*Assumptions!B11</f>
        <v>-977977780.9506884</v>
      </c>
      <c r="E12" s="18">
        <f>-(E6-D6)*Assumptions!B11</f>
        <v>-1144127183.0637178</v>
      </c>
      <c r="F12" s="18">
        <f>-(F6-E6)*Assumptions!B11</f>
        <v>-1338503835.6932995</v>
      </c>
    </row>
    <row r="13" spans="1:6" x14ac:dyDescent="0.25">
      <c r="A13" s="19" t="s">
        <v>49</v>
      </c>
      <c r="B13" s="20">
        <f>B9+B10+B11+B12</f>
        <v>2992916815.938514</v>
      </c>
      <c r="C13" s="20">
        <f>C9+C10+C11+C12</f>
        <v>3501385770.1706033</v>
      </c>
      <c r="D13" s="20">
        <f>D9+D10+D11+D12</f>
        <v>4096238908.567462</v>
      </c>
      <c r="E13" s="20">
        <f>E9+E10+E11+E12</f>
        <v>4792152107.034011</v>
      </c>
      <c r="F13" s="20">
        <f>F9+F10+F11+F12</f>
        <v>5606294537.391068</v>
      </c>
    </row>
    <row r="14" spans="1:6" x14ac:dyDescent="0.25">
      <c r="A14" t="s">
        <v>50</v>
      </c>
      <c r="B14" s="21">
        <f>1/(1+Assumptions!$B$26)^(1-0.5*Assumptions!$B$32)</f>
        <v>0.9716365941514368</v>
      </c>
      <c r="C14" s="21">
        <f>1/(1+Assumptions!$B$26)^(2-0.5*Assumptions!$B$32)</f>
        <v>0.9173004129563929</v>
      </c>
      <c r="D14" s="21">
        <f>1/(1+Assumptions!$B$26)^(3-0.5*Assumptions!$B$32)</f>
        <v>0.8660028375576232</v>
      </c>
      <c r="E14" s="21">
        <f>1/(1+Assumptions!$B$26)^(4-0.5*Assumptions!$B$32)</f>
        <v>0.8175739420423731</v>
      </c>
      <c r="F14" s="21">
        <f>1/(1+Assumptions!$B$26)^(5-0.5*Assumptions!$B$32)</f>
        <v>0.7718533031506715</v>
      </c>
    </row>
    <row r="15" spans="1:6" x14ac:dyDescent="0.25">
      <c r="A15" s="19" t="s">
        <v>51</v>
      </c>
      <c r="B15" s="20">
        <f>B13*B14</f>
        <v>2908027501.6170607</v>
      </c>
      <c r="C15" s="20">
        <f>C13*C14</f>
        <v>3211822612.897132</v>
      </c>
      <c r="D15" s="20">
        <f>D13*D14</f>
        <v>3547354518.1333637</v>
      </c>
      <c r="E15" s="20">
        <f>E13*E14</f>
        <v>3917938689.0144606</v>
      </c>
      <c r="F15" s="20">
        <f>F13*F14</f>
        <v>4327236957.120862</v>
      </c>
    </row>
    <row r="17" spans="1:2" x14ac:dyDescent="0.25">
      <c r="A17" s="22" t="s">
        <v>52</v>
      </c>
      <c r="B17" s="23">
        <f>SUM(B15:F15)</f>
        <v>17912380278.78288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5606294537.391068</v>
      </c>
    </row>
    <row r="5" spans="1:2" x14ac:dyDescent="0.25">
      <c r="A5" t="s">
        <v>56</v>
      </c>
      <c r="B5" s="18">
        <f>IF(Assumptions!$B$33=0,B4,B4-Forecast!F11-Forecast!F10-Forecast!F12)</f>
        <v>10752152351.862276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0.38624744783721743</v>
      </c>
    </row>
    <row r="7" spans="1:2" x14ac:dyDescent="0.25">
      <c r="A7" t="s">
        <v>58</v>
      </c>
      <c r="B7" s="18">
        <f>-MAX(Forecast!F9,0)*B6</f>
        <v>-4152991404.663739</v>
      </c>
    </row>
    <row r="8" spans="1:2" x14ac:dyDescent="0.25">
      <c r="A8" t="s">
        <v>59</v>
      </c>
      <c r="B8" s="18">
        <f>IF(OR(Assumptions!$B$33=0,Assumptions!B12&lt;=0),B5,MAX(B5+B7,0))</f>
        <v>6599160947.198537</v>
      </c>
    </row>
    <row r="9" spans="1:2" x14ac:dyDescent="0.25">
      <c r="A9" t="s">
        <v>60</v>
      </c>
      <c r="B9" s="18">
        <f>B8*(1+Assumptions!B12)/(Assumptions!B26-Assumptions!B12)</f>
        <v>197580353393.8133</v>
      </c>
    </row>
    <row r="10" spans="1:2" x14ac:dyDescent="0.25">
      <c r="A10" t="s">
        <v>61</v>
      </c>
      <c r="B10" s="18">
        <f>B9/(1+Assumptions!B26)^(5-0.5*Assumptions!B32)</f>
        <v>152503048404.69177</v>
      </c>
    </row>
    <row r="11" spans="1:2" x14ac:dyDescent="0.25">
      <c r="A11" t="s">
        <v>62</v>
      </c>
      <c r="B11" s="18">
        <f>Forecast!B17+B10</f>
        <v>170415428683.47464</v>
      </c>
    </row>
    <row r="12" spans="1:2" x14ac:dyDescent="0.25">
      <c r="A12" t="s">
        <v>63</v>
      </c>
      <c r="B12" s="18">
        <f>-Assumptions!B30</f>
        <v>-66785000000</v>
      </c>
    </row>
    <row r="13" spans="1:2" x14ac:dyDescent="0.25">
      <c r="A13" t="s">
        <v>64</v>
      </c>
      <c r="B13" s="18">
        <f>B11+B12</f>
        <v>103630428683.47464</v>
      </c>
    </row>
    <row r="14" spans="1:2" x14ac:dyDescent="0.25">
      <c r="A14" s="19" t="s">
        <v>65</v>
      </c>
      <c r="B14" s="24">
        <f>B13/Assumptions!B31</f>
        <v>225.23457657786273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20294747104.420975</v>
      </c>
    </row>
    <row r="18" spans="1:2" x14ac:dyDescent="0.25">
      <c r="A18" t="s">
        <v>60</v>
      </c>
      <c r="B18" s="18">
        <f>B17*Assumptions!B13</f>
        <v>220454798613.32837</v>
      </c>
    </row>
    <row r="19" spans="1:2" x14ac:dyDescent="0.25">
      <c r="A19" t="s">
        <v>61</v>
      </c>
      <c r="B19" s="18">
        <f>B18/(1+Assumptions!B26)^(5-0.5*Assumptions!B32)</f>
        <v>170158764505.11356</v>
      </c>
    </row>
    <row r="20" spans="1:2" x14ac:dyDescent="0.25">
      <c r="A20" t="s">
        <v>62</v>
      </c>
      <c r="B20" s="18">
        <f>Forecast!B17+B19</f>
        <v>188071144783.89642</v>
      </c>
    </row>
    <row r="21" spans="1:2" x14ac:dyDescent="0.25">
      <c r="A21" t="s">
        <v>63</v>
      </c>
      <c r="B21" s="18">
        <f>-Assumptions!B30</f>
        <v>-66785000000</v>
      </c>
    </row>
    <row r="22" spans="1:2" x14ac:dyDescent="0.25">
      <c r="A22" t="s">
        <v>64</v>
      </c>
      <c r="B22" s="18">
        <f>B20+B21</f>
        <v>121286144783.89642</v>
      </c>
    </row>
    <row r="23" spans="1:2" x14ac:dyDescent="0.25">
      <c r="A23" s="19" t="s">
        <v>65</v>
      </c>
      <c r="B23" s="25">
        <f>B22/Assumptions!B31</f>
        <v>263.6082260028177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50.4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314.9229849711677</v>
      </c>
    </row>
    <row r="29" spans="1:2" x14ac:dyDescent="0.25">
      <c r="A29" s="19" t="s">
        <v>73</v>
      </c>
      <c r="B29" s="12">
        <f>B28/B26-1</f>
        <v>5.248471924031105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0.039235</v>
      </c>
      <c r="B5" s="31">
        <v>528.1976904429675</v>
      </c>
      <c r="C5" s="31">
        <v>615.990123924213</v>
      </c>
      <c r="D5" s="31">
        <v>764.3896813538521</v>
      </c>
      <c r="E5" s="31">
        <v>1071.8378201467094</v>
      </c>
      <c r="F5" s="31">
        <v>2101.670719865544</v>
      </c>
    </row>
    <row r="6" spans="1:6" x14ac:dyDescent="0.25">
      <c r="A6" s="30">
        <v>0.049235</v>
      </c>
      <c r="B6" s="31">
        <v>323.55154582224</v>
      </c>
      <c r="C6" s="31">
        <v>348.6198254558668</v>
      </c>
      <c r="D6" s="31">
        <v>383.4319146691573</v>
      </c>
      <c r="E6" s="31">
        <v>435.5863132642928</v>
      </c>
      <c r="F6" s="31">
        <v>523.3573198522795</v>
      </c>
    </row>
    <row r="7" spans="1:6" x14ac:dyDescent="0.25">
      <c r="A7" s="30">
        <v>0.059235</v>
      </c>
      <c r="B7" s="31">
        <v>211.74461041411962</v>
      </c>
      <c r="C7" s="31">
        <v>217.80702270472898</v>
      </c>
      <c r="D7" s="32">
        <v>225.23324986132602</v>
      </c>
      <c r="E7" s="31">
        <v>234.72304296958964</v>
      </c>
      <c r="F7" s="31">
        <v>247.55362461152907</v>
      </c>
    </row>
    <row r="8" spans="1:6" x14ac:dyDescent="0.25">
      <c r="A8" s="30">
        <v>0.069235</v>
      </c>
      <c r="B8" s="31">
        <v>146.2932056597961</v>
      </c>
      <c r="C8" s="31">
        <v>147.5419060151281</v>
      </c>
      <c r="D8" s="31">
        <v>148.79060637046</v>
      </c>
      <c r="E8" s="31">
        <v>150.03930672579196</v>
      </c>
      <c r="F8" s="31">
        <v>151.28800708112396</v>
      </c>
    </row>
    <row r="9" spans="1:6" x14ac:dyDescent="0.25">
      <c r="A9" s="30">
        <v>0.079235</v>
      </c>
      <c r="B9" s="31">
        <v>104.28273139189045</v>
      </c>
      <c r="C9" s="31">
        <v>105.32907427024</v>
      </c>
      <c r="D9" s="31">
        <v>106.37541714858956</v>
      </c>
      <c r="E9" s="31">
        <v>107.42176002693911</v>
      </c>
      <c r="F9" s="31">
        <v>108.46810290528863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23100000000</v>
      </c>
      <c r="C5" s="18">
        <v>21039000000</v>
      </c>
      <c r="D5" s="18">
        <v>17931000000</v>
      </c>
      <c r="E5" s="18">
        <v>14427000000</v>
      </c>
      <c r="F5" s="8" t="s">
        <v>84</v>
      </c>
    </row>
    <row r="6" spans="1:6" x14ac:dyDescent="0.25">
      <c r="A6" t="s">
        <v>44</v>
      </c>
      <c r="B6" s="18">
        <v>5798000000</v>
      </c>
      <c r="C6" s="18">
        <v>4958000000</v>
      </c>
      <c r="D6" s="18">
        <v>4048000000</v>
      </c>
      <c r="E6" s="18">
        <v>3484000000</v>
      </c>
      <c r="F6" s="8" t="s">
        <v>85</v>
      </c>
    </row>
    <row r="7" spans="1:6" x14ac:dyDescent="0.25">
      <c r="A7" t="s">
        <v>86</v>
      </c>
      <c r="B7" s="18">
        <v>4024000000</v>
      </c>
      <c r="C7" s="18">
        <v>3644000000</v>
      </c>
      <c r="D7" s="18">
        <v>2739000000</v>
      </c>
      <c r="E7" s="18">
        <v>2158000000</v>
      </c>
      <c r="F7" s="8" t="s">
        <v>87</v>
      </c>
    </row>
    <row r="8" spans="1:6" x14ac:dyDescent="0.25">
      <c r="A8" t="s">
        <v>88</v>
      </c>
      <c r="B8" s="18">
        <v>6024000000</v>
      </c>
      <c r="C8" s="18">
        <v>4975000000</v>
      </c>
      <c r="D8" s="18">
        <v>2487000000</v>
      </c>
      <c r="E8" s="18">
        <v>2775000000</v>
      </c>
      <c r="F8" s="8" t="s">
        <v>89</v>
      </c>
    </row>
    <row r="9" spans="1:6" x14ac:dyDescent="0.25">
      <c r="A9" t="s">
        <v>90</v>
      </c>
      <c r="B9" s="18">
        <v>408000000</v>
      </c>
      <c r="C9" s="18">
        <v>226000000</v>
      </c>
      <c r="D9" s="18">
        <v>638000000</v>
      </c>
      <c r="E9" s="18">
        <v>904000000</v>
      </c>
      <c r="F9" s="8" t="s">
        <v>91</v>
      </c>
    </row>
    <row r="10" spans="1:6" x14ac:dyDescent="0.25">
      <c r="A10" t="s">
        <v>92</v>
      </c>
      <c r="B10" s="18">
        <v>69117000000</v>
      </c>
      <c r="C10" s="18">
        <v>56354000000</v>
      </c>
      <c r="D10" s="18">
        <v>49574000000</v>
      </c>
      <c r="E10" s="18">
        <v>33828000000</v>
      </c>
      <c r="F10" s="8" t="s">
        <v>93</v>
      </c>
    </row>
    <row r="11" spans="1:6" x14ac:dyDescent="0.25">
      <c r="A11" t="s">
        <v>94</v>
      </c>
      <c r="B11" s="18">
        <v>2332000000</v>
      </c>
      <c r="C11" s="18">
        <v>2433000000</v>
      </c>
      <c r="D11" s="18">
        <v>2442000000</v>
      </c>
      <c r="E11" s="18">
        <v>2266000000</v>
      </c>
      <c r="F11" s="8" t="s">
        <v>95</v>
      </c>
    </row>
    <row r="12" spans="1:6" x14ac:dyDescent="0.25">
      <c r="A12" t="s">
        <v>32</v>
      </c>
      <c r="B12" s="34">
        <v>460100000</v>
      </c>
      <c r="C12" s="34">
        <v>461600000</v>
      </c>
      <c r="D12" s="34">
        <v>459400000</v>
      </c>
      <c r="E12" s="34">
        <v>458100000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