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<sst xmlns="http://schemas.openxmlformats.org/spreadsheetml/2006/main" count="119" uniqueCount="106">
  <si>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Booking Holdings Inc. (BKNG)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</si>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</sst>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0.08689900471820788</v>
      </c>
    </row>
    <row r="7" spans="1:2" x14ac:dyDescent="0.25">
      <c r="A7" t="s">
        <v>4</v>
      </c>
      <c r="B7" s="5">
        <v>0.3086844706140012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0.03170284472050437</v>
      </c>
    </row>
    <row r="10" spans="1:3" x14ac:dyDescent="0.25">
      <c r="A10" t="s">
        <v>7</v>
      </c>
      <c r="B10" s="5">
        <v>0.016928798434966127</v>
      </c>
      <c r="C10" s="6" t="s">
        <v>8</v>
      </c>
    </row>
    <row r="11" spans="1:2" x14ac:dyDescent="0.25">
      <c r="A11" t="s">
        <v>9</v>
      </c>
      <c r="B11" s="5">
        <v>-0.02129740309521202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11.70295992676617</v>
      </c>
    </row>
    <row r="14" spans="1:3" x14ac:dyDescent="0.25">
      <c r="A14" t="s">
        <v>12</v>
      </c>
      <c r="B14" s="5">
        <v>0.43872822990135957</v>
      </c>
      <c r="C14" s="6" t="s">
        <v>13</v>
      </c>
    </row>
    <row r="15" spans="1:3" x14ac:dyDescent="0.25">
      <c r="A15" t="s">
        <v>14</v>
      </c>
      <c r="B15" s="5">
        <v>0.021606261031753136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1.10251</v>
      </c>
      <c r="C19" s="6" t="s">
        <v>21</v>
      </c>
    </row>
    <row r="20" spans="1:2" x14ac:dyDescent="0.25">
      <c r="A20" t="s">
        <v>22</v>
      </c>
      <c r="B20" s="9">
        <f>B17+B19*B18</f>
        <v>0.09557617300000001</v>
      </c>
    </row>
    <row r="21" spans="1:3" x14ac:dyDescent="0.25">
      <c r="A21" t="s">
        <v>23</v>
      </c>
      <c r="B21" s="5">
        <v>0.0889096607466872</v>
      </c>
      <c r="C21" s="6" t="s">
        <v>24</v>
      </c>
    </row>
    <row r="22" spans="1:2" x14ac:dyDescent="0.25">
      <c r="A22" t="s">
        <v>25</v>
      </c>
      <c r="B22" s="10">
        <v>115524747264</v>
      </c>
    </row>
    <row r="23" spans="1:2" x14ac:dyDescent="0.25">
      <c r="A23" t="s">
        <v>26</v>
      </c>
      <c r="B23" s="10">
        <v>19293000000</v>
      </c>
    </row>
    <row r="24" spans="1:2" x14ac:dyDescent="0.25">
      <c r="A24" t="s">
        <v>27</v>
      </c>
      <c r="B24" s="9">
        <f>B22/(B22+B23)</f>
        <v>0.8568956951771308</v>
      </c>
    </row>
    <row r="25" spans="1:2" x14ac:dyDescent="0.25">
      <c r="A25" t="s">
        <v>28</v>
      </c>
      <c r="B25" s="9">
        <f>1-B24</f>
        <v>0.14310430482286918</v>
      </c>
    </row>
    <row r="26" spans="1:2" x14ac:dyDescent="0.25">
      <c r="A26" t="s">
        <v>29</v>
      </c>
      <c r="B26" s="11">
        <f>B24*B20+B25*B21*(1-B8)</f>
        <v>0.09195026180782626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26917000000</v>
      </c>
      <c r="C29" s="6" t="s">
        <v>32</v>
      </c>
    </row>
    <row r="30" spans="1:2" x14ac:dyDescent="0.25">
      <c r="A30" t="s">
        <v>33</v>
      </c>
      <c r="B30" s="10">
        <v>2090000000</v>
      </c>
    </row>
    <row r="31" spans="1:2" x14ac:dyDescent="0.25">
      <c r="A31" t="s">
        <v>34</v>
      </c>
      <c r="B31" s="12">
        <v>815975000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0.08689900471820788</v>
      </c>
      <c r="C5" s="5">
        <v>0.092447510459432</v>
      </c>
      <c r="D5" s="5">
        <v>0.084016571652003</v>
      </c>
      <c r="E5" s="5">
        <v>0.07558563284457401</v>
      </c>
      <c r="F5" s="5">
        <v>0.067154694037145</v>
      </c>
      <c r="G5" s="5">
        <v>0.058723755229716</v>
      </c>
      <c r="H5" s="5">
        <v>0.050292816422287</v>
      </c>
      <c r="I5" s="5">
        <v>0.041861877614858</v>
      </c>
      <c r="J5" s="5">
        <v>0.03343093880742899</v>
      </c>
      <c r="K5" s="5">
        <v>0.024999999999999994</v>
      </c>
    </row>
    <row r="6" spans="1:11" x14ac:dyDescent="0.25">
      <c r="A6" t="s">
        <v>50</v>
      </c>
      <c r="B6" s="18">
        <f>Assumptions!B29*(1+B5)</f>
        <v>29256060510</v>
      </c>
      <c r="C6" s="18">
        <f>B6*(1+C5)</f>
        <v>31960710470</v>
      </c>
      <c r="D6" s="18">
        <f>C6*(1+D5)</f>
        <v>34645939791.25168</v>
      </c>
      <c r="E6" s="18">
        <f>D6*(1+E5)</f>
        <v>37264675075.86845</v>
      </c>
      <c r="F6" s="18">
        <f>E6*(1+F5)</f>
        <v>39767172928.98202</v>
      </c>
      <c r="G6" s="18">
        <f>F6*(1+G5)</f>
        <v>42102450658.24134</v>
      </c>
      <c r="H6" s="18">
        <f>G6*(1+H5)</f>
        <v>44219901480.124664</v>
      </c>
      <c r="I6" s="18">
        <f>H6*(1+I5)</f>
        <v>46071029584.026726</v>
      </c>
      <c r="J6" s="18">
        <f>I6*(1+J5)</f>
        <v>47611227354.84557</v>
      </c>
      <c r="K6" s="18">
        <f>J6*(1+K5)</f>
        <v>48801508038.716705</v>
      </c>
    </row>
    <row r="7" spans="1:11" x14ac:dyDescent="0.25">
      <c r="A7" t="s">
        <v>4</v>
      </c>
      <c r="B7" s="9">
        <f>Assumptions!B7</f>
        <v>0.3086844706140012</v>
      </c>
      <c r="C7" s="9">
        <f>Assumptions!B7</f>
        <v>0.3086844706140012</v>
      </c>
      <c r="D7" s="9">
        <f>Assumptions!B7</f>
        <v>0.3086844706140012</v>
      </c>
      <c r="E7" s="9">
        <f>Assumptions!B7</f>
        <v>0.3086844706140012</v>
      </c>
      <c r="F7" s="9">
        <f>Assumptions!B7</f>
        <v>0.3086844706140012</v>
      </c>
      <c r="G7" s="9">
        <f>Assumptions!B7</f>
        <v>0.3086844706140012</v>
      </c>
      <c r="H7" s="9">
        <f>Assumptions!B7</f>
        <v>0.3086844706140012</v>
      </c>
      <c r="I7" s="9">
        <f>Assumptions!B7</f>
        <v>0.3086844706140012</v>
      </c>
      <c r="J7" s="9">
        <f>Assumptions!B7</f>
        <v>0.3086844706140012</v>
      </c>
      <c r="K7" s="9">
        <f>Assumptions!B7</f>
        <v>0.3086844706140012</v>
      </c>
    </row>
    <row r="8" spans="1:11" x14ac:dyDescent="0.25">
      <c r="A8" t="s">
        <v>51</v>
      </c>
      <c r="B8" s="18">
        <f>B6*B7</f>
        <v>9030891550.780537</v>
      </c>
      <c r="C8" s="18">
        <f>C6*C7</f>
        <v>9865774991.879316</v>
      </c>
      <c r="D8" s="18">
        <f>D6*D7</f>
        <v>10694663583.387085</v>
      </c>
      <c r="E8" s="18">
        <f>E6*E7</f>
        <v>11503026498.397217</v>
      </c>
      <c r="F8" s="18">
        <f>F6*F7</f>
        <v>12275508723.398254</v>
      </c>
      <c r="G8" s="18">
        <f>G6*G7</f>
        <v>12996372692.991335</v>
      </c>
      <c r="H8" s="18">
        <f>H6*H7</f>
        <v>13649996878.995571</v>
      </c>
      <c r="I8" s="18">
        <f>I6*I7</f>
        <v>14221411377.78728</v>
      </c>
      <c r="J8" s="18">
        <f>J6*J7</f>
        <v>14696846511.31336</v>
      </c>
      <c r="K8" s="18">
        <f>K6*K7</f>
        <v>15064267674.096191</v>
      </c>
    </row>
    <row r="9" spans="1:11" x14ac:dyDescent="0.25">
      <c r="A9" t="s">
        <v>52</v>
      </c>
      <c r="B9" s="18">
        <f>B8*(1-Assumptions!B8)</f>
        <v>7134404325.116624</v>
      </c>
      <c r="C9" s="18">
        <f>C8*(1-Assumptions!B8)</f>
        <v>7793962243.584661</v>
      </c>
      <c r="D9" s="18">
        <f>D8*(1-Assumptions!B8)</f>
        <v>8448784230.875797</v>
      </c>
      <c r="E9" s="18">
        <f>E8*(1-Assumptions!B8)</f>
        <v>9087390933.7338</v>
      </c>
      <c r="F9" s="18">
        <f>F8*(1-Assumptions!B8)</f>
        <v>9697651891.484621</v>
      </c>
      <c r="G9" s="18">
        <f>G8*(1-Assumptions!B8)</f>
        <v>10267134427.463156</v>
      </c>
      <c r="H9" s="18">
        <f>H8*(1-Assumptions!B8)</f>
        <v>10783497534.406502</v>
      </c>
      <c r="I9" s="18">
        <f>I8*(1-Assumptions!B8)</f>
        <v>11234914988.45195</v>
      </c>
      <c r="J9" s="18">
        <f>J8*(1-Assumptions!B8)</f>
        <v>11610508743.937555</v>
      </c>
      <c r="K9" s="18">
        <f>K8*(1-Assumptions!B8)</f>
        <v>11900771462.535992</v>
      </c>
    </row>
    <row r="10" spans="1:11" x14ac:dyDescent="0.25">
      <c r="A10" t="s">
        <v>53</v>
      </c>
      <c r="B10" s="18">
        <f>B6*Assumptions!B9</f>
        <v>927500343.4822099</v>
      </c>
      <c r="C10" s="18">
        <f>C6*Assumptions!B9</f>
        <v>1013245441.1874083</v>
      </c>
      <c r="D10" s="18">
        <f>D6*Assumptions!B9</f>
        <v>1098374849.3979957</v>
      </c>
      <c r="E10" s="18">
        <f>E6*Assumptions!B9</f>
        <v>1181396207.4903069</v>
      </c>
      <c r="F10" s="18">
        <f>F6*Assumptions!B9</f>
        <v>1260732508.340962</v>
      </c>
      <c r="G10" s="18">
        <f>G6*Assumptions!B9</f>
        <v>1334767455.5709224</v>
      </c>
      <c r="H10" s="18">
        <f>H6*Assumptions!B9</f>
        <v>1401896670.1803937</v>
      </c>
      <c r="I10" s="18">
        <f>I6*Assumptions!B9</f>
        <v>1460582697.0161624</v>
      </c>
      <c r="J10" s="18">
        <f>J6*Assumptions!B9</f>
        <v>1509411347.7832994</v>
      </c>
      <c r="K10" s="18">
        <f>K6*Assumptions!B9</f>
        <v>1547146631.4778817</v>
      </c>
    </row>
    <row r="11" spans="1:11" x14ac:dyDescent="0.25">
      <c r="A11" t="s">
        <v>54</v>
      </c>
      <c r="B11" s="18">
        <f>-B6*B19</f>
        <v>-495269951.37496233</v>
      </c>
      <c r="C11" s="18">
        <f>-C6*C19</f>
        <v>-608627983.6324091</v>
      </c>
      <c r="D11" s="18">
        <f>-D6*D19</f>
        <v>-733011509.141279</v>
      </c>
      <c r="E11" s="18">
        <f>-E6*E19</f>
        <v>-867201885.3611766</v>
      </c>
      <c r="F11" s="18">
        <f>-F6*F19</f>
        <v>-1009514598.5736632</v>
      </c>
      <c r="G11" s="18">
        <f>-G6*G19</f>
        <v>-1157810383.248541</v>
      </c>
      <c r="H11" s="18">
        <f>-H6*H19</f>
        <v>-1309529954.171875</v>
      </c>
      <c r="I11" s="18">
        <f>-I6*I19</f>
        <v>-1461753030.734252</v>
      </c>
      <c r="J11" s="18">
        <f>-J6*J19</f>
        <v>-1611280797.6741278</v>
      </c>
      <c r="K11" s="18">
        <f>-K6*K19</f>
        <v>-1754739308.2042515</v>
      </c>
    </row>
    <row r="12" spans="1:11" x14ac:dyDescent="0.25">
      <c r="A12" t="s">
        <v>55</v>
      </c>
      <c r="B12" s="18">
        <f>-(B6-Assumptions!B29)*Assumptions!B11</f>
        <v>49815914.5455622</v>
      </c>
      <c r="C12" s="18">
        <f>-(C6-B6)*Assumptions!B11</f>
        <v>57602020.42956906</v>
      </c>
      <c r="D12" s="18">
        <f>-(D6-C6)*Assumptions!B11</f>
        <v>57188411.25777956</v>
      </c>
      <c r="E12" s="18">
        <f>-(E6-D6)*Assumptions!B11</f>
        <v>55772260.956138074</v>
      </c>
      <c r="F12" s="18">
        <f>-(F6-E6)*Assumptions!B11</f>
        <v>53296705.5226624</v>
      </c>
      <c r="G12" s="18">
        <f>-(G6-F6)*Assumptions!B11</f>
        <v>49735351.1393072</v>
      </c>
      <c r="H12" s="18">
        <f>-(H6-G6)*Assumptions!B11</f>
        <v>45096203.68793713</v>
      </c>
      <c r="I12" s="18">
        <f>-(I6-H6)*Assumptions!B11</f>
        <v>39424221.40967772</v>
      </c>
      <c r="J12" s="18">
        <f>-(J6-I6)*Assumptions!B11</f>
        <v>32802212.77147598</v>
      </c>
      <c r="K12" s="18">
        <f>-(K6-J6)*Assumptions!B11</f>
        <v>25349887.52084812</v>
      </c>
    </row>
    <row r="13" spans="1:11" x14ac:dyDescent="0.25">
      <c r="A13" s="19" t="s">
        <v>56</v>
      </c>
      <c r="B13" s="20">
        <f>B9+B10+B11+B12</f>
        <v>7616450631.769433</v>
      </c>
      <c r="C13" s="20">
        <f>C9+C10+C11+C12</f>
        <v>8256181721.569228</v>
      </c>
      <c r="D13" s="20">
        <f>D9+D10+D11+D12</f>
        <v>8871335982.390293</v>
      </c>
      <c r="E13" s="20">
        <f>E9+E10+E11+E12</f>
        <v>9457357516.819069</v>
      </c>
      <c r="F13" s="20">
        <f>F9+F10+F11+F12</f>
        <v>10002166506.774582</v>
      </c>
      <c r="G13" s="20">
        <f>G9+G10+G11+G12</f>
        <v>10493826850.924845</v>
      </c>
      <c r="H13" s="20">
        <f>H9+H10+H11+H12</f>
        <v>10920960454.102957</v>
      </c>
      <c r="I13" s="20">
        <f>I9+I10+I11+I12</f>
        <v>11273168876.143538</v>
      </c>
      <c r="J13" s="20">
        <f>J9+J10+J11+J12</f>
        <v>11541441506.818205</v>
      </c>
      <c r="K13" s="20">
        <f>K9+K10+K11+K12</f>
        <v>11718528673.33047</v>
      </c>
    </row>
    <row r="14" spans="1:11" x14ac:dyDescent="0.25">
      <c r="A14" t="s">
        <v>57</v>
      </c>
      <c r="B14" s="21">
        <f>1/(1+Assumptions!$B$26)^(1-0.5*Assumptions!$B$32)</f>
        <v>0.9569705471360289</v>
      </c>
      <c r="C14" s="21">
        <f>1/(1+Assumptions!$B$26)^(2-0.5*Assumptions!$B$32)</f>
        <v>0.8763865723624392</v>
      </c>
      <c r="D14" s="21">
        <f>1/(1+Assumptions!$B$26)^(3-0.5*Assumptions!$B$32)</f>
        <v>0.8025883623229311</v>
      </c>
      <c r="E14" s="21">
        <f>1/(1+Assumptions!$B$26)^(4-0.5*Assumptions!$B$32)</f>
        <v>0.7350045056028199</v>
      </c>
      <c r="F14" s="21">
        <f>1/(1+Assumptions!$B$26)^(5-0.5*Assumptions!$B$32)</f>
        <v>0.673111707840933</v>
      </c>
      <c r="G14" s="21">
        <f>1/(1+Assumptions!$B$26)^(6-0.5*Assumptions!$B$32)</f>
        <v>0.6164307399189899</v>
      </c>
      <c r="H14" s="21">
        <f>1/(1+Assumptions!$B$26)^(7-0.5*Assumptions!$B$32)</f>
        <v>0.5645227273433048</v>
      </c>
      <c r="I14" s="21">
        <f>1/(1+Assumptions!$B$26)^(8-0.5*Assumptions!$B$32)</f>
        <v>0.516985752087906</v>
      </c>
      <c r="J14" s="21">
        <f>1/(1+Assumptions!$B$26)^(9-0.5*Assumptions!$B$32)</f>
        <v>0.47345174058751305</v>
      </c>
      <c r="K14" s="21">
        <f>1/(1+Assumptions!$B$26)^(10-0.5*Assumptions!$B$32)</f>
        <v>0.4335836137844495</v>
      </c>
    </row>
    <row r="15" spans="1:11" x14ac:dyDescent="0.25">
      <c r="A15" s="19" t="s">
        <v>58</v>
      </c>
      <c r="B15" s="20">
        <f>B13*B14</f>
        <v>7288718928.318948</v>
      </c>
      <c r="C15" s="20">
        <f>C13*C14</f>
        <v>7235606799.767478</v>
      </c>
      <c r="D15" s="20">
        <f>D13*D14</f>
        <v>7120031017.723116</v>
      </c>
      <c r="E15" s="20">
        <f>E13*E14</f>
        <v>6951200385.958713</v>
      </c>
      <c r="F15" s="20">
        <f>F13*F14</f>
        <v>6732575379.484418</v>
      </c>
      <c r="G15" s="20">
        <f>G13*G14</f>
        <v>6468717450.297365</v>
      </c>
      <c r="H15" s="20">
        <f>H13*H14</f>
        <v>6165130380.758577</v>
      </c>
      <c r="I15" s="20">
        <f>I13*I14</f>
        <v>5828067689.84704</v>
      </c>
      <c r="J15" s="20">
        <f>J13*J14</f>
        <v>5464315570.292048</v>
      </c>
      <c r="K15" s="20">
        <f>K13*K14</f>
        <v>5080962010.419315</v>
      </c>
    </row>
    <row r="17" spans="1:2" x14ac:dyDescent="0.25">
      <c r="A17" s="22" t="s">
        <v>59</v>
      </c>
      <c r="B17" s="23">
        <f>SUM(B15:K15)</f>
        <v>64335325612.867004</v>
      </c>
    </row>
    <row r="19" spans="1:11" x14ac:dyDescent="0.25">
      <c r="A19" t="s">
        <v>7</v>
      </c>
      <c r="B19" s="9">
        <f>Assumptions!$B$10+($B$20-Assumptions!$B$10)*0/9</f>
        <v>0.016928798434966127</v>
      </c>
      <c r="C19" s="9">
        <f>Assumptions!$B$10+($B$20-Assumptions!$B$10)*1/9</f>
        <v>0.019043005448946427</v>
      </c>
      <c r="D19" s="9">
        <f>Assumptions!$B$10+($B$20-Assumptions!$B$10)*2/9</f>
        <v>0.021157212462926726</v>
      </c>
      <c r="E19" s="9">
        <f>Assumptions!$B$10+($B$20-Assumptions!$B$10)*3/9</f>
        <v>0.023271419476907022</v>
      </c>
      <c r="F19" s="9">
        <f>Assumptions!$B$10+($B$20-Assumptions!$B$10)*4/9</f>
        <v>0.025385626490887325</v>
      </c>
      <c r="G19" s="9">
        <f>Assumptions!$B$10+($B$20-Assumptions!$B$10)*5/9</f>
        <v>0.02749983350486762</v>
      </c>
      <c r="H19" s="9">
        <f>Assumptions!$B$10+($B$20-Assumptions!$B$10)*6/9</f>
        <v>0.02961404051884792</v>
      </c>
      <c r="I19" s="9">
        <f>Assumptions!$B$10+($B$20-Assumptions!$B$10)*7/9</f>
        <v>0.03172824753282822</v>
      </c>
      <c r="J19" s="9">
        <f>Assumptions!$B$10+($B$20-Assumptions!$B$10)*8/9</f>
        <v>0.03384245454680852</v>
      </c>
      <c r="K19" s="9">
        <f>Assumptions!$B$10+($B$20-Assumptions!$B$10)*9/9</f>
        <v>0.03595666156078882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0.03595666156078882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11718528673.33047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12290026985.475626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0.05698288438293751</v>
      </c>
    </row>
    <row r="7" spans="1:2" x14ac:dyDescent="0.25">
      <c r="A7" t="s">
        <v>66</v>
      </c>
      <c r="B7" s="18">
        <f>-MAX(B5,0)*B6</f>
        <v>-700321186.7765397</v>
      </c>
    </row>
    <row r="8" spans="1:2" x14ac:dyDescent="0.25">
      <c r="A8" t="s">
        <v>67</v>
      </c>
      <c r="B8" s="18">
        <f>IF(OR(Assumptions!$B$33=0,Assumptions!B12&lt;=0),B5,MAX(B5+B7,0))</f>
        <v>11589705798.699087</v>
      </c>
    </row>
    <row r="9" spans="1:2" x14ac:dyDescent="0.25">
      <c r="A9" t="s">
        <v>68</v>
      </c>
      <c r="B9" s="18">
        <f>B8*(1+Assumptions!B12)/(Assumptions!B26-Assumptions!B12)</f>
        <v>177436922916.975</v>
      </c>
    </row>
    <row r="10" spans="1:2" x14ac:dyDescent="0.25">
      <c r="A10" t="s">
        <v>69</v>
      </c>
      <c r="B10" s="18">
        <f>B9/(1+Assumptions!B26)^(10-0.5*Assumptions!B32)</f>
        <v>76933742257.13483</v>
      </c>
    </row>
    <row r="11" spans="1:2" x14ac:dyDescent="0.25">
      <c r="A11" t="s">
        <v>70</v>
      </c>
      <c r="B11" s="18">
        <f>Forecast!B17+B10</f>
        <v>141269067870.00183</v>
      </c>
    </row>
    <row r="12" spans="1:2" x14ac:dyDescent="0.25">
      <c r="A12" t="s">
        <v>71</v>
      </c>
      <c r="B12" s="18">
        <f>-Assumptions!B30</f>
        <v>-2090000000</v>
      </c>
    </row>
    <row r="13" spans="1:2" x14ac:dyDescent="0.25">
      <c r="A13" t="s">
        <v>72</v>
      </c>
      <c r="B13" s="18">
        <f>B11+B12</f>
        <v>139179067870.00183</v>
      </c>
    </row>
    <row r="14" spans="1:2" x14ac:dyDescent="0.25">
      <c r="A14" s="19" t="s">
        <v>73</v>
      </c>
      <c r="B14" s="24">
        <f>B13/Assumptions!B31</f>
        <v>170.5678089034613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16611414305.574074</v>
      </c>
    </row>
    <row r="18" spans="1:2" x14ac:dyDescent="0.25">
      <c r="A18" t="s">
        <v>68</v>
      </c>
      <c r="B18" s="18">
        <f>B17*Assumptions!B13</f>
        <v>194402715945.04367</v>
      </c>
    </row>
    <row r="19" spans="1:2" x14ac:dyDescent="0.25">
      <c r="A19" t="s">
        <v>69</v>
      </c>
      <c r="B19" s="18">
        <f>B18/(1+Assumptions!B26)^(10-0.5*Assumptions!B32)</f>
        <v>84289832108.96385</v>
      </c>
    </row>
    <row r="20" spans="1:2" x14ac:dyDescent="0.25">
      <c r="A20" t="s">
        <v>70</v>
      </c>
      <c r="B20" s="18">
        <f>Forecast!B17+B19</f>
        <v>148625157721.83087</v>
      </c>
    </row>
    <row r="21" spans="1:2" x14ac:dyDescent="0.25">
      <c r="A21" t="s">
        <v>71</v>
      </c>
      <c r="B21" s="18">
        <f>-Assumptions!B30</f>
        <v>-2090000000</v>
      </c>
    </row>
    <row r="22" spans="1:2" x14ac:dyDescent="0.25">
      <c r="A22" t="s">
        <v>72</v>
      </c>
      <c r="B22" s="18">
        <f>B20+B21</f>
        <v>146535157721.83087</v>
      </c>
    </row>
    <row r="23" spans="1:2" x14ac:dyDescent="0.25">
      <c r="A23" s="19" t="s">
        <v>73</v>
      </c>
      <c r="B23" s="25">
        <f>B22/Assumptions!B31</f>
        <v>179.58290109602729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153.75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170.5678089034613</v>
      </c>
    </row>
    <row r="29" spans="1:2" x14ac:dyDescent="0.25">
      <c r="A29" s="19" t="s">
        <v>81</v>
      </c>
      <c r="B29" s="11">
        <f>B28/B26-1</f>
        <v>0.10938412294934174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0.07195</v>
      </c>
      <c r="B5" s="31">
        <v>218.48049157524102</v>
      </c>
      <c r="C5" s="31">
        <v>229.87665423414404</v>
      </c>
      <c r="D5" s="31">
        <v>243.78386820901835</v>
      </c>
      <c r="E5" s="31">
        <v>261.1000064376368</v>
      </c>
      <c r="F5" s="31">
        <v>283.20893532882644</v>
      </c>
    </row>
    <row r="6" spans="1:6" x14ac:dyDescent="0.25">
      <c r="A6" s="30">
        <v>0.08195</v>
      </c>
      <c r="B6" s="31">
        <v>185.04029693691766</v>
      </c>
      <c r="C6" s="31">
        <v>192.22821019519694</v>
      </c>
      <c r="D6" s="31">
        <v>200.74352404963736</v>
      </c>
      <c r="E6" s="31">
        <v>210.96951104965996</v>
      </c>
      <c r="F6" s="31">
        <v>223.4527121363452</v>
      </c>
    </row>
    <row r="7" spans="1:6" x14ac:dyDescent="0.25">
      <c r="A7" s="30">
        <v>0.09195</v>
      </c>
      <c r="B7" s="31">
        <v>160.33072427752174</v>
      </c>
      <c r="C7" s="31">
        <v>165.06944917766089</v>
      </c>
      <c r="D7" s="32">
        <v>170.5684808033531</v>
      </c>
      <c r="E7" s="31">
        <v>177.01191279274693</v>
      </c>
      <c r="F7" s="31">
        <v>184.64848975436766</v>
      </c>
    </row>
    <row r="8" spans="1:6" x14ac:dyDescent="0.25">
      <c r="A8" s="30">
        <v>0.10195</v>
      </c>
      <c r="B8" s="31">
        <v>141.3374592244845</v>
      </c>
      <c r="C8" s="31">
        <v>144.5593427873942</v>
      </c>
      <c r="D8" s="31">
        <v>148.24317232911284</v>
      </c>
      <c r="E8" s="31">
        <v>152.48525347413144</v>
      </c>
      <c r="F8" s="31">
        <v>157.4106612642649</v>
      </c>
    </row>
    <row r="9" spans="1:6" x14ac:dyDescent="0.25">
      <c r="A9" s="30">
        <v>0.11195</v>
      </c>
      <c r="B9" s="31">
        <v>126.28996087159561</v>
      </c>
      <c r="C9" s="31">
        <v>128.52781696095784</v>
      </c>
      <c r="D9" s="31">
        <v>131.0593093127935</v>
      </c>
      <c r="E9" s="31">
        <v>133.9381846499471</v>
      </c>
      <c r="F9" s="31">
        <v>137.23215895396197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26917000000</v>
      </c>
      <c r="C5" s="18">
        <v>23739000000</v>
      </c>
      <c r="D5" s="18">
        <v>21365000000</v>
      </c>
      <c r="E5" s="18">
        <v>17090000000</v>
      </c>
      <c r="F5" s="6" t="s">
        <v>91</v>
      </c>
    </row>
    <row r="6" spans="1:6" x14ac:dyDescent="0.25">
      <c r="A6" t="s">
        <v>51</v>
      </c>
      <c r="B6" s="18">
        <v>9282000000</v>
      </c>
      <c r="C6" s="18">
        <v>7555000000</v>
      </c>
      <c r="D6" s="18">
        <v>5835000000</v>
      </c>
      <c r="E6" s="18">
        <v>5102000000</v>
      </c>
      <c r="F6" s="6" t="s">
        <v>92</v>
      </c>
    </row>
    <row r="7" spans="1:6" x14ac:dyDescent="0.25">
      <c r="A7" t="s">
        <v>93</v>
      </c>
      <c r="B7" s="18">
        <v>768000000</v>
      </c>
      <c r="C7" s="18">
        <v>751000000</v>
      </c>
      <c r="D7" s="18">
        <v>665000000</v>
      </c>
      <c r="E7" s="18">
        <v>607000000</v>
      </c>
      <c r="F7" s="6" t="s">
        <v>94</v>
      </c>
    </row>
    <row r="8" spans="1:6" x14ac:dyDescent="0.25">
      <c r="A8" t="s">
        <v>95</v>
      </c>
      <c r="B8" s="18">
        <v>322000000</v>
      </c>
      <c r="C8" s="18">
        <v>429000000</v>
      </c>
      <c r="D8" s="18">
        <v>345000000</v>
      </c>
      <c r="E8" s="18">
        <v>368000000</v>
      </c>
      <c r="F8" s="6" t="s">
        <v>96</v>
      </c>
    </row>
    <row r="9" spans="1:6" x14ac:dyDescent="0.25">
      <c r="A9" t="s">
        <v>97</v>
      </c>
      <c r="B9" s="18">
        <v>-535000000</v>
      </c>
      <c r="C9" s="18">
        <v>-367000000</v>
      </c>
      <c r="D9" s="18">
        <v>-1709000000</v>
      </c>
      <c r="E9" s="18">
        <v>-1795000000</v>
      </c>
      <c r="F9" s="6" t="s">
        <v>98</v>
      </c>
    </row>
    <row r="10" spans="1:6" x14ac:dyDescent="0.25">
      <c r="A10" t="s">
        <v>99</v>
      </c>
      <c r="B10" s="18">
        <v>19293000000</v>
      </c>
      <c r="C10" s="18">
        <v>17081000000</v>
      </c>
      <c r="D10" s="18">
        <v>14783000000</v>
      </c>
      <c r="E10" s="18">
        <v>13037000000</v>
      </c>
      <c r="F10" s="6" t="s">
        <v>100</v>
      </c>
    </row>
    <row r="11" spans="1:6" x14ac:dyDescent="0.25">
      <c r="A11" t="s">
        <v>101</v>
      </c>
      <c r="B11" s="18">
        <v>17203000000</v>
      </c>
      <c r="C11" s="18">
        <v>16164000000</v>
      </c>
      <c r="D11" s="18">
        <v>12683000000</v>
      </c>
      <c r="E11" s="18">
        <v>12396000000</v>
      </c>
      <c r="F11" s="6" t="s">
        <v>102</v>
      </c>
    </row>
    <row r="12" spans="1:6" x14ac:dyDescent="0.25">
      <c r="A12" t="s">
        <v>34</v>
      </c>
      <c r="B12" s="34">
        <v>815975000</v>
      </c>
      <c r="C12" s="34">
        <v>851600000</v>
      </c>
      <c r="D12" s="34">
        <v>913250000</v>
      </c>
      <c r="E12" s="34">
        <v>1001300000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