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<sst xmlns="http://schemas.openxmlformats.org/spreadsheetml/2006/main" count="119" uniqueCount="106">
  <si>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Baker Hughes Company (BKR)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</si>
  <si>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</si>
  <si>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</si>
  <si>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</si>
  <si>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</si>
  <si>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</si>
  <si>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</si>
  <si>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</si>
  <si>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</si>
  <si>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</si>
  <si>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</si>
  <si>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</si>
  <si>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</si>
  <si>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</si>
  <si>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</si>
  <si>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</si>
  <si>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</si>
  <si>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</si>
  <si>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</si>
  <si>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</si>
  <si>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</si>
  <si>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</si>
  <si>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</si>
  <si>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</si>
  <si>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16.0x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</si>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</sst>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0.06846935816536259</v>
      </c>
    </row>
    <row r="7" spans="1:2" x14ac:dyDescent="0.25">
      <c r="A7" t="s">
        <v>4</v>
      </c>
      <c r="B7" s="5">
        <v>0.11065701794276932</v>
      </c>
    </row>
    <row r="8" spans="1:2" x14ac:dyDescent="0.25">
      <c r="A8" t="s">
        <v>5</v>
      </c>
      <c r="B8" s="5">
        <v>0.17297129582172263</v>
      </c>
    </row>
    <row r="9" spans="1:2" x14ac:dyDescent="0.25">
      <c r="A9" t="s">
        <v>6</v>
      </c>
      <c r="B9" s="5">
        <v>0.04410661514701228</v>
      </c>
    </row>
    <row r="10" spans="1:3" x14ac:dyDescent="0.25">
      <c r="A10" t="s">
        <v>7</v>
      </c>
      <c r="B10" s="5">
        <v>0.04664049685897565</v>
      </c>
      <c r="C10" s="6" t="s">
        <v>8</v>
      </c>
    </row>
    <row r="11" spans="1:2" x14ac:dyDescent="0.25">
      <c r="A11" t="s">
        <v>9</v>
      </c>
      <c r="B11" s="5">
        <v>0.24117700528008543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11.602700408851423</v>
      </c>
    </row>
    <row r="14" spans="1:3" x14ac:dyDescent="0.25">
      <c r="A14" t="s">
        <v>12</v>
      </c>
      <c r="B14" s="5">
        <v>0.11006055002096318</v>
      </c>
      <c r="C14" s="6" t="s">
        <v>13</v>
      </c>
    </row>
    <row r="15" spans="1:3" x14ac:dyDescent="0.25">
      <c r="A15" t="s">
        <v>14</v>
      </c>
      <c r="B15" s="5">
        <v>0.034321004310784615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1.0388600000000001</v>
      </c>
      <c r="C19" s="6" t="s">
        <v>21</v>
      </c>
    </row>
    <row r="20" spans="1:2" x14ac:dyDescent="0.25">
      <c r="A20" t="s">
        <v>22</v>
      </c>
      <c r="B20" s="9">
        <f>B17+B19*B18</f>
        <v>0.092883778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52682813440</v>
      </c>
    </row>
    <row r="23" spans="1:2" x14ac:dyDescent="0.25">
      <c r="A23" t="s">
        <v>26</v>
      </c>
      <c r="B23" s="10">
        <v>6087000000</v>
      </c>
    </row>
    <row r="24" spans="1:2" x14ac:dyDescent="0.25">
      <c r="A24" t="s">
        <v>27</v>
      </c>
      <c r="B24" s="9">
        <f>B22/(B22+B23)</f>
        <v>0.8964264195561142</v>
      </c>
    </row>
    <row r="25" spans="1:2" x14ac:dyDescent="0.25">
      <c r="A25" t="s">
        <v>28</v>
      </c>
      <c r="B25" s="9">
        <f>1-B24</f>
        <v>0.10357358044388576</v>
      </c>
    </row>
    <row r="26" spans="1:2" x14ac:dyDescent="0.25">
      <c r="A26" t="s">
        <v>29</v>
      </c>
      <c r="B26" s="11">
        <f>B24*B20+B25*B21*(1-B8)</f>
        <v>0.08779822422108909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27733000000</v>
      </c>
      <c r="C29" s="6" t="s">
        <v>32</v>
      </c>
    </row>
    <row r="30" spans="1:2" x14ac:dyDescent="0.25">
      <c r="A30" t="s">
        <v>33</v>
      </c>
      <c r="B30" s="10">
        <v>2372000000</v>
      </c>
    </row>
    <row r="31" spans="1:2" x14ac:dyDescent="0.25">
      <c r="A31" t="s">
        <v>34</v>
      </c>
      <c r="B31" s="12">
        <v>994000000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0.06846935816536259</v>
      </c>
      <c r="C5" s="5">
        <v>0.10176354024849887</v>
      </c>
      <c r="D5" s="5">
        <v>0.09216809771743652</v>
      </c>
      <c r="E5" s="5">
        <v>0.08257265518637416</v>
      </c>
      <c r="F5" s="5">
        <v>0.07297721265531179</v>
      </c>
      <c r="G5" s="5">
        <v>0.06338177012424943</v>
      </c>
      <c r="H5" s="5">
        <v>0.05378632759318708</v>
      </c>
      <c r="I5" s="5">
        <v>0.044190885062124714</v>
      </c>
      <c r="J5" s="5">
        <v>0.03459544253106235</v>
      </c>
      <c r="K5" s="5">
        <v>0.024999999999999994</v>
      </c>
    </row>
    <row r="6" spans="1:11" x14ac:dyDescent="0.25">
      <c r="A6" t="s">
        <v>50</v>
      </c>
      <c r="B6" s="18">
        <f>Assumptions!B29*(1+B5)</f>
        <v>29631860710</v>
      </c>
      <c r="C6" s="18">
        <f>B6*(1+C5)</f>
        <v>32647303759.999996</v>
      </c>
      <c r="D6" s="18">
        <f>C6*(1+D5)</f>
        <v>35656343643.16251</v>
      </c>
      <c r="E6" s="18">
        <f>D6*(1+E5)</f>
        <v>38600582612.016235</v>
      </c>
      <c r="F6" s="18">
        <f>E6*(1+F5)</f>
        <v>41417545537.91228</v>
      </c>
      <c r="G6" s="18">
        <f>F6*(1+G5)</f>
        <v>44042662888.30686</v>
      </c>
      <c r="H6" s="18">
        <f>G6*(1+H5)</f>
        <v>46411555982.49364</v>
      </c>
      <c r="I6" s="18">
        <f>H6*(1+I5)</f>
        <v>48462523718.470375</v>
      </c>
      <c r="J6" s="18">
        <f>I6*(1+J5)</f>
        <v>50139106172.68297</v>
      </c>
      <c r="K6" s="18">
        <f>J6*(1+K5)</f>
        <v>51392583827.00004</v>
      </c>
    </row>
    <row r="7" spans="1:11" x14ac:dyDescent="0.25">
      <c r="A7" t="s">
        <v>4</v>
      </c>
      <c r="B7" s="9">
        <f>Assumptions!B7</f>
        <v>0.11065701794276932</v>
      </c>
      <c r="C7" s="9">
        <f>Assumptions!B7</f>
        <v>0.11065701794276932</v>
      </c>
      <c r="D7" s="9">
        <f>Assumptions!B7</f>
        <v>0.11065701794276932</v>
      </c>
      <c r="E7" s="9">
        <f>Assumptions!B7</f>
        <v>0.11065701794276932</v>
      </c>
      <c r="F7" s="9">
        <f>Assumptions!B7</f>
        <v>0.11065701794276932</v>
      </c>
      <c r="G7" s="9">
        <f>Assumptions!B7</f>
        <v>0.11065701794276932</v>
      </c>
      <c r="H7" s="9">
        <f>Assumptions!B7</f>
        <v>0.11065701794276932</v>
      </c>
      <c r="I7" s="9">
        <f>Assumptions!B7</f>
        <v>0.11065701794276932</v>
      </c>
      <c r="J7" s="9">
        <f>Assumptions!B7</f>
        <v>0.11065701794276932</v>
      </c>
      <c r="K7" s="9">
        <f>Assumptions!B7</f>
        <v>0.11065701794276932</v>
      </c>
    </row>
    <row r="8" spans="1:11" x14ac:dyDescent="0.25">
      <c r="A8" t="s">
        <v>51</v>
      </c>
      <c r="B8" s="18">
        <f>B6*B7</f>
        <v>3278973342.264111</v>
      </c>
      <c r="C8" s="18">
        <f>C6*C7</f>
        <v>3612653277.9533596</v>
      </c>
      <c r="D8" s="18">
        <f>D6*D7</f>
        <v>3945624658.294983</v>
      </c>
      <c r="E8" s="18">
        <f>E6*E7</f>
        <v>4271425362.6992297</v>
      </c>
      <c r="F8" s="18">
        <f>F6*F7</f>
        <v>4583142079.734224</v>
      </c>
      <c r="G8" s="18">
        <f>G6*G7</f>
        <v>4873629737.478713</v>
      </c>
      <c r="H8" s="18">
        <f>H6*H7</f>
        <v>5135764383.106641</v>
      </c>
      <c r="I8" s="18">
        <f>I6*I7</f>
        <v>5362718356.66666</v>
      </c>
      <c r="J8" s="18">
        <f>J6*J7</f>
        <v>5548243971.384995</v>
      </c>
      <c r="K8" s="18">
        <f>K6*K7</f>
        <v>5686950070.66962</v>
      </c>
    </row>
    <row r="9" spans="1:11" x14ac:dyDescent="0.25">
      <c r="A9" t="s">
        <v>52</v>
      </c>
      <c r="B9" s="18">
        <f>B8*(1-Assumptions!B8)</f>
        <v>2711805074.2878027</v>
      </c>
      <c r="C9" s="18">
        <f>C8*(1-Assumptions!B8)</f>
        <v>2987767959.111173</v>
      </c>
      <c r="D9" s="18">
        <f>D8*(1-Assumptions!B8)</f>
        <v>3263144848.323558</v>
      </c>
      <c r="E9" s="18">
        <f>E8*(1-Assumptions!B8)</f>
        <v>3532591382.707372</v>
      </c>
      <c r="F9" s="18">
        <f>F8*(1-Assumptions!B8)</f>
        <v>3790390055.2675304</v>
      </c>
      <c r="G9" s="18">
        <f>G8*(1-Assumptions!B8)</f>
        <v>4030631686.431738</v>
      </c>
      <c r="H9" s="18">
        <f>H8*(1-Assumptions!B8)</f>
        <v>4247424562.725635</v>
      </c>
      <c r="I9" s="18">
        <f>I8*(1-Assumptions!B8)</f>
        <v>4435122013.387089</v>
      </c>
      <c r="J9" s="18">
        <f>J8*(1-Assumptions!B8)</f>
        <v>4588557022.1194725</v>
      </c>
      <c r="K9" s="18">
        <f>K8*(1-Assumptions!B8)</f>
        <v>4703270947.672459</v>
      </c>
    </row>
    <row r="10" spans="1:11" x14ac:dyDescent="0.25">
      <c r="A10" t="s">
        <v>53</v>
      </c>
      <c r="B10" s="18">
        <f>B6*Assumptions!B9</f>
        <v>1306961076.425844</v>
      </c>
      <c r="C10" s="18">
        <f>C6*Assumptions!B9</f>
        <v>1439962062.5299268</v>
      </c>
      <c r="D10" s="18">
        <f>D6*Assumptions!B9</f>
        <v>1572680626.6185868</v>
      </c>
      <c r="E10" s="18">
        <f>E6*Assumptions!B9</f>
        <v>1702541041.7186542</v>
      </c>
      <c r="F10" s="18">
        <f>F6*Assumptions!B9</f>
        <v>1826787741.3745525</v>
      </c>
      <c r="G10" s="18">
        <f>G6*Assumptions!B9</f>
        <v>1942572782.064151</v>
      </c>
      <c r="H10" s="18">
        <f>H6*Assumptions!B9</f>
        <v>2047056638.0938623</v>
      </c>
      <c r="I10" s="18">
        <f>I6*Assumptions!B9</f>
        <v>2137517882.7035272</v>
      </c>
      <c r="J10" s="18">
        <f>J6*Assumptions!B9</f>
        <v>2211466259.7737155</v>
      </c>
      <c r="K10" s="18">
        <f>K6*Assumptions!B9</f>
        <v>2266752916.2680583</v>
      </c>
    </row>
    <row r="11" spans="1:11" x14ac:dyDescent="0.25">
      <c r="A11" t="s">
        <v>54</v>
      </c>
      <c r="B11" s="18">
        <f>-B6*B19</f>
        <v>-1382044706.370359</v>
      </c>
      <c r="C11" s="18">
        <f>-C6*C19</f>
        <v>-1560073355.7949085</v>
      </c>
      <c r="D11" s="18">
        <f>-D6*D19</f>
        <v>-1744695114.904888</v>
      </c>
      <c r="E11" s="18">
        <f>-E6*E19</f>
        <v>-1932963658.5147345</v>
      </c>
      <c r="F11" s="18">
        <f>-F6*F19</f>
        <v>-2121456310.4470458</v>
      </c>
      <c r="G11" s="18">
        <f>-G6*G19</f>
        <v>-2306354538.279798</v>
      </c>
      <c r="H11" s="18">
        <f>-H6*H19</f>
        <v>-2483554248.6217656</v>
      </c>
      <c r="I11" s="18">
        <f>-I6*I19</f>
        <v>-2648802796.2512965</v>
      </c>
      <c r="J11" s="18">
        <f>-J6*J19</f>
        <v>-2797857369.337448</v>
      </c>
      <c r="K11" s="18">
        <f>-K6*K19</f>
        <v>-2926657323.447515</v>
      </c>
    </row>
    <row r="12" spans="1:11" x14ac:dyDescent="0.25">
      <c r="A12" t="s">
        <v>55</v>
      </c>
      <c r="B12" s="18">
        <f>-(B6-Assumptions!B29)*Assumptions!B11</f>
        <v>-457961539.48181677</v>
      </c>
      <c r="C12" s="18">
        <f>-(C6-B6)*Assumptions!B11</f>
        <v>-727255524.391646</v>
      </c>
      <c r="D12" s="18">
        <f>-(D6-C6)*Assumptions!B11</f>
        <v>-725711227.7894741</v>
      </c>
      <c r="E12" s="18">
        <f>-(E6-D6)*Assumptions!B11</f>
        <v>-710082737.3370672</v>
      </c>
      <c r="F12" s="18">
        <f>-(F6-E6)*Assumptions!B11</f>
        <v>-679386682.4526346</v>
      </c>
      <c r="G12" s="18">
        <f>-(G6-F6)*Assumptions!B11</f>
        <v>-633117941.0769587</v>
      </c>
      <c r="H12" s="18">
        <f>-(H6-G6)*Assumptions!B11</f>
        <v>-571322542.2846417</v>
      </c>
      <c r="I12" s="18">
        <f>-(I6-H6)*Assumptions!B11</f>
        <v>-494646256.4889466</v>
      </c>
      <c r="J12" s="18">
        <f>-(J6-I6)*Assumptions!B11</f>
        <v>-404353135.41212916</v>
      </c>
      <c r="K12" s="18">
        <f>-(K6-J6)*Assumptions!B11</f>
        <v>-302309986.85369706</v>
      </c>
    </row>
    <row r="13" spans="1:11" x14ac:dyDescent="0.25">
      <c r="A13" s="19" t="s">
        <v>56</v>
      </c>
      <c r="B13" s="20">
        <f>B9+B10+B11+B12</f>
        <v>2178759904.861471</v>
      </c>
      <c r="C13" s="20">
        <f>C9+C10+C11+C12</f>
        <v>2140401141.4545455</v>
      </c>
      <c r="D13" s="20">
        <f>D9+D10+D11+D12</f>
        <v>2365419132.247782</v>
      </c>
      <c r="E13" s="20">
        <f>E9+E10+E11+E12</f>
        <v>2592086028.574225</v>
      </c>
      <c r="F13" s="20">
        <f>F9+F10+F11+F12</f>
        <v>2816334803.742403</v>
      </c>
      <c r="G13" s="20">
        <f>G9+G10+G11+G12</f>
        <v>3033731989.139132</v>
      </c>
      <c r="H13" s="20">
        <f>H9+H10+H11+H12</f>
        <v>3239604409.9130898</v>
      </c>
      <c r="I13" s="20">
        <f>I9+I10+I11+I12</f>
        <v>3429190843.3503733</v>
      </c>
      <c r="J13" s="20">
        <f>J9+J10+J11+J12</f>
        <v>3597812777.143611</v>
      </c>
      <c r="K13" s="20">
        <f>K9+K10+K11+K12</f>
        <v>3741056553.639305</v>
      </c>
    </row>
    <row r="14" spans="1:11" x14ac:dyDescent="0.25">
      <c r="A14" t="s">
        <v>57</v>
      </c>
      <c r="B14" s="21">
        <f>1/(1+Assumptions!$B$26)^(1-0.5*Assumptions!$B$32)</f>
        <v>0.958795147184264</v>
      </c>
      <c r="C14" s="21">
        <f>1/(1+Assumptions!$B$26)^(2-0.5*Assumptions!$B$32)</f>
        <v>0.8814090019964899</v>
      </c>
      <c r="D14" s="21">
        <f>1/(1+Assumptions!$B$26)^(3-0.5*Assumptions!$B$32)</f>
        <v>0.8102688369689305</v>
      </c>
      <c r="E14" s="21">
        <f>1/(1+Assumptions!$B$26)^(4-0.5*Assumptions!$B$32)</f>
        <v>0.7448705273895059</v>
      </c>
      <c r="F14" s="21">
        <f>1/(1+Assumptions!$B$26)^(5-0.5*Assumptions!$B$32)</f>
        <v>0.6847506373922109</v>
      </c>
      <c r="G14" s="21">
        <f>1/(1+Assumptions!$B$26)^(6-0.5*Assumptions!$B$32)</f>
        <v>0.6294831358844349</v>
      </c>
      <c r="H14" s="21">
        <f>1/(1+Assumptions!$B$26)^(7-0.5*Assumptions!$B$32)</f>
        <v>0.5786763775379137</v>
      </c>
      <c r="I14" s="21">
        <f>1/(1+Assumptions!$B$26)^(8-0.5*Assumptions!$B$32)</f>
        <v>0.5319703274495333</v>
      </c>
      <c r="J14" s="21">
        <f>1/(1+Assumptions!$B$26)^(9-0.5*Assumptions!$B$32)</f>
        <v>0.48903400980494083</v>
      </c>
      <c r="K14" s="21">
        <f>1/(1+Assumptions!$B$26)^(10-0.5*Assumptions!$B$32)</f>
        <v>0.44956316246527295</v>
      </c>
    </row>
    <row r="15" spans="1:11" x14ac:dyDescent="0.25">
      <c r="A15" s="19" t="s">
        <v>58</v>
      </c>
      <c r="B15" s="20">
        <f>B13*B14</f>
        <v>2088984423.6608272</v>
      </c>
      <c r="C15" s="20">
        <f>C13*C14</f>
        <v>1886568833.9615986</v>
      </c>
      <c r="D15" s="20">
        <f>D13*D14</f>
        <v>1916625409.2304673</v>
      </c>
      <c r="E15" s="20">
        <f>E13*E14</f>
        <v>1930768487.1430528</v>
      </c>
      <c r="F15" s="20">
        <f>F13*F14</f>
        <v>1928487051.9724777</v>
      </c>
      <c r="G15" s="20">
        <f>G13*G14</f>
        <v>1909683125.9562254</v>
      </c>
      <c r="H15" s="20">
        <f>H13*H14</f>
        <v>1874682544.5843573</v>
      </c>
      <c r="I15" s="20">
        <f>I13*I14</f>
        <v>1824227775.8240395</v>
      </c>
      <c r="J15" s="20">
        <f>J13*J14</f>
        <v>1759452808.93399</v>
      </c>
      <c r="K15" s="20">
        <f>K13*K14</f>
        <v>1681841215.215521</v>
      </c>
    </row>
    <row r="17" spans="1:2" x14ac:dyDescent="0.25">
      <c r="A17" s="22" t="s">
        <v>59</v>
      </c>
      <c r="B17" s="23">
        <f>SUM(B15:K15)</f>
        <v>18801321676.48256</v>
      </c>
    </row>
    <row r="19" spans="1:11" x14ac:dyDescent="0.25">
      <c r="A19" t="s">
        <v>7</v>
      </c>
      <c r="B19" s="9">
        <f>Assumptions!$B$10+($B$20-Assumptions!$B$10)*0/9</f>
        <v>0.04664049685897565</v>
      </c>
      <c r="C19" s="9">
        <f>Assumptions!$B$10+($B$20-Assumptions!$B$10)*1/9</f>
        <v>0.04778567220323828</v>
      </c>
      <c r="D19" s="9">
        <f>Assumptions!$B$10+($B$20-Assumptions!$B$10)*2/9</f>
        <v>0.048930847547500905</v>
      </c>
      <c r="E19" s="9">
        <f>Assumptions!$B$10+($B$20-Assumptions!$B$10)*3/9</f>
        <v>0.050076022891763536</v>
      </c>
      <c r="F19" s="9">
        <f>Assumptions!$B$10+($B$20-Assumptions!$B$10)*4/9</f>
        <v>0.051221198236026166</v>
      </c>
      <c r="G19" s="9">
        <f>Assumptions!$B$10+($B$20-Assumptions!$B$10)*5/9</f>
        <v>0.05236637358028879</v>
      </c>
      <c r="H19" s="9">
        <f>Assumptions!$B$10+($B$20-Assumptions!$B$10)*6/9</f>
        <v>0.05351154892455142</v>
      </c>
      <c r="I19" s="9">
        <f>Assumptions!$B$10+($B$20-Assumptions!$B$10)*7/9</f>
        <v>0.05465672426881405</v>
      </c>
      <c r="J19" s="9">
        <f>Assumptions!$B$10+($B$20-Assumptions!$B$10)*8/9</f>
        <v>0.055801899613076675</v>
      </c>
      <c r="K19" s="9">
        <f>Assumptions!$B$10+($B$20-Assumptions!$B$10)*9/9</f>
        <v>0.056947074957339305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0.056947074957339305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3741056553.639305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5119190154.668093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0.2271476927494753</v>
      </c>
    </row>
    <row r="7" spans="1:2" x14ac:dyDescent="0.25">
      <c r="A7" t="s">
        <v>66</v>
      </c>
      <c r="B7" s="18">
        <f>-MAX(B5,0)*B6</f>
        <v>-1162812232.378687</v>
      </c>
    </row>
    <row r="8" spans="1:2" x14ac:dyDescent="0.25">
      <c r="A8" t="s">
        <v>67</v>
      </c>
      <c r="B8" s="18">
        <f>IF(OR(Assumptions!$B$33=0,Assumptions!B12&lt;=0),B5,MAX(B5+B7,0))</f>
        <v>3956377922.289406</v>
      </c>
    </row>
    <row r="9" spans="1:2" x14ac:dyDescent="0.25">
      <c r="A9" t="s">
        <v>68</v>
      </c>
      <c r="B9" s="18">
        <f>B8*(1+Assumptions!B12)/(Assumptions!B26-Assumptions!B12)</f>
        <v>64576465666.75977</v>
      </c>
    </row>
    <row r="10" spans="1:2" x14ac:dyDescent="0.25">
      <c r="A10" t="s">
        <v>69</v>
      </c>
      <c r="B10" s="18">
        <f>B9/(1+Assumptions!B26)^(10-0.5*Assumptions!B32)</f>
        <v>29031200125.978645</v>
      </c>
    </row>
    <row r="11" spans="1:2" x14ac:dyDescent="0.25">
      <c r="A11" t="s">
        <v>70</v>
      </c>
      <c r="B11" s="18">
        <f>Forecast!B17+B10</f>
        <v>47832521802.461205</v>
      </c>
    </row>
    <row r="12" spans="1:2" x14ac:dyDescent="0.25">
      <c r="A12" t="s">
        <v>71</v>
      </c>
      <c r="B12" s="18">
        <f>-Assumptions!B30</f>
        <v>-2372000000</v>
      </c>
    </row>
    <row r="13" spans="1:2" x14ac:dyDescent="0.25">
      <c r="A13" t="s">
        <v>72</v>
      </c>
      <c r="B13" s="18">
        <f>B11+B12</f>
        <v>45460521802.461205</v>
      </c>
    </row>
    <row r="14" spans="1:2" x14ac:dyDescent="0.25">
      <c r="A14" s="19" t="s">
        <v>73</v>
      </c>
      <c r="B14" s="24">
        <f>B13/Assumptions!B31</f>
        <v>45.73493139080604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7953702986.937677</v>
      </c>
    </row>
    <row r="18" spans="1:2" x14ac:dyDescent="0.25">
      <c r="A18" t="s">
        <v>68</v>
      </c>
      <c r="B18" s="18">
        <f>B17*Assumptions!B13</f>
        <v>92284432898.42458</v>
      </c>
    </row>
    <row r="19" spans="1:2" x14ac:dyDescent="0.25">
      <c r="A19" t="s">
        <v>69</v>
      </c>
      <c r="B19" s="18">
        <f>B18/(1+Assumptions!B26)^(10-0.5*Assumptions!B32)</f>
        <v>41487681500.13003</v>
      </c>
    </row>
    <row r="20" spans="1:2" x14ac:dyDescent="0.25">
      <c r="A20" t="s">
        <v>70</v>
      </c>
      <c r="B20" s="18">
        <f>Forecast!B17+B19</f>
        <v>60289003176.61259</v>
      </c>
    </row>
    <row r="21" spans="1:2" x14ac:dyDescent="0.25">
      <c r="A21" t="s">
        <v>71</v>
      </c>
      <c r="B21" s="18">
        <f>-Assumptions!B30</f>
        <v>-2372000000</v>
      </c>
    </row>
    <row r="22" spans="1:2" x14ac:dyDescent="0.25">
      <c r="A22" t="s">
        <v>72</v>
      </c>
      <c r="B22" s="18">
        <f>B20+B21</f>
        <v>57917003176.61259</v>
      </c>
    </row>
    <row r="23" spans="1:2" x14ac:dyDescent="0.25">
      <c r="A23" s="19" t="s">
        <v>73</v>
      </c>
      <c r="B23" s="25">
        <f>B22/Assumptions!B31</f>
        <v>58.266602793372826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53.05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45.73493139080604</v>
      </c>
    </row>
    <row r="29" spans="1:2" x14ac:dyDescent="0.25">
      <c r="A29" s="19" t="s">
        <v>81</v>
      </c>
      <c r="B29" s="11">
        <f>B28/B26-1</f>
        <v>-0.13789007745888704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0.067798</v>
      </c>
      <c r="B5" s="31">
        <v>65.53970903317277</v>
      </c>
      <c r="C5" s="31">
        <v>67.23796589234703</v>
      </c>
      <c r="D5" s="31">
        <v>69.46042738285786</v>
      </c>
      <c r="E5" s="31">
        <v>72.41512222236366</v>
      </c>
      <c r="F5" s="31">
        <v>76.43693364261405</v>
      </c>
    </row>
    <row r="6" spans="1:6" x14ac:dyDescent="0.25">
      <c r="A6" s="30">
        <v>0.077798</v>
      </c>
      <c r="B6" s="31">
        <v>53.94945729332822</v>
      </c>
      <c r="C6" s="31">
        <v>54.534498124622694</v>
      </c>
      <c r="D6" s="31">
        <v>55.32789597020362</v>
      </c>
      <c r="E6" s="31">
        <v>56.39503756621685</v>
      </c>
      <c r="F6" s="31">
        <v>57.83186562625843</v>
      </c>
    </row>
    <row r="7" spans="1:6" x14ac:dyDescent="0.25">
      <c r="A7" s="30">
        <v>0.087798</v>
      </c>
      <c r="B7" s="31">
        <v>45.59461633441678</v>
      </c>
      <c r="C7" s="31">
        <v>45.62377221695883</v>
      </c>
      <c r="D7" s="32">
        <v>45.73511181888749</v>
      </c>
      <c r="E7" s="31">
        <v>45.94996383307796</v>
      </c>
      <c r="F7" s="31">
        <v>46.29773630877312</v>
      </c>
    </row>
    <row r="8" spans="1:6" x14ac:dyDescent="0.25">
      <c r="A8" s="30">
        <v>0.097798</v>
      </c>
      <c r="B8" s="31">
        <v>39.29931477717523</v>
      </c>
      <c r="C8" s="31">
        <v>39.04006617028357</v>
      </c>
      <c r="D8" s="31">
        <v>38.80849880516524</v>
      </c>
      <c r="E8" s="31">
        <v>38.61073703101346</v>
      </c>
      <c r="F8" s="31">
        <v>38.45485568881832</v>
      </c>
    </row>
    <row r="9" spans="1:6" x14ac:dyDescent="0.25">
      <c r="A9" s="30">
        <v>0.107798</v>
      </c>
      <c r="B9" s="31">
        <v>34.39482711618415</v>
      </c>
      <c r="C9" s="31">
        <v>33.98568976215401</v>
      </c>
      <c r="D9" s="31">
        <v>33.57983936044448</v>
      </c>
      <c r="E9" s="31">
        <v>33.17790965851449</v>
      </c>
      <c r="F9" s="31">
        <v>32.78070851505099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27733000000</v>
      </c>
      <c r="C5" s="18">
        <v>27829000000</v>
      </c>
      <c r="D5" s="18">
        <v>25506000000</v>
      </c>
      <c r="E5" s="18">
        <v>21156000000</v>
      </c>
      <c r="F5" s="6" t="s">
        <v>91</v>
      </c>
    </row>
    <row r="6" spans="1:6" x14ac:dyDescent="0.25">
      <c r="A6" t="s">
        <v>51</v>
      </c>
      <c r="B6" s="18">
        <v>3557000000</v>
      </c>
      <c r="C6" s="18">
        <v>3382000000</v>
      </c>
      <c r="D6" s="18">
        <v>2640000000</v>
      </c>
      <c r="E6" s="18">
        <v>1890000000</v>
      </c>
      <c r="F6" s="6" t="s">
        <v>92</v>
      </c>
    </row>
    <row r="7" spans="1:6" x14ac:dyDescent="0.25">
      <c r="A7" t="s">
        <v>93</v>
      </c>
      <c r="B7" s="18">
        <v>1188000000</v>
      </c>
      <c r="C7" s="18">
        <v>1136000000</v>
      </c>
      <c r="D7" s="18">
        <v>1087000000</v>
      </c>
      <c r="E7" s="18">
        <v>1061000000</v>
      </c>
      <c r="F7" s="6" t="s">
        <v>94</v>
      </c>
    </row>
    <row r="8" spans="1:6" x14ac:dyDescent="0.25">
      <c r="A8" t="s">
        <v>95</v>
      </c>
      <c r="B8" s="18">
        <v>1273000000</v>
      </c>
      <c r="C8" s="18">
        <v>1278000000</v>
      </c>
      <c r="D8" s="18">
        <v>1224000000</v>
      </c>
      <c r="E8" s="18">
        <v>989000000</v>
      </c>
      <c r="F8" s="6" t="s">
        <v>96</v>
      </c>
    </row>
    <row r="9" spans="1:6" x14ac:dyDescent="0.25">
      <c r="A9" t="s">
        <v>97</v>
      </c>
      <c r="B9" s="18">
        <v>-394000000</v>
      </c>
      <c r="C9" s="18">
        <v>-24000000</v>
      </c>
      <c r="D9" s="18">
        <v>-462000000</v>
      </c>
      <c r="E9" s="18">
        <v>-211000000</v>
      </c>
      <c r="F9" s="6" t="s">
        <v>98</v>
      </c>
    </row>
    <row r="10" spans="1:6" x14ac:dyDescent="0.25">
      <c r="A10" t="s">
        <v>99</v>
      </c>
      <c r="B10" s="18">
        <v>6087000000</v>
      </c>
      <c r="C10" s="18">
        <v>6023000000</v>
      </c>
      <c r="D10" s="18">
        <v>6021000000</v>
      </c>
      <c r="E10" s="18">
        <v>6658000000</v>
      </c>
      <c r="F10" s="6" t="s">
        <v>100</v>
      </c>
    </row>
    <row r="11" spans="1:6" x14ac:dyDescent="0.25">
      <c r="A11" t="s">
        <v>101</v>
      </c>
      <c r="B11" s="18">
        <v>3715000000</v>
      </c>
      <c r="C11" s="18">
        <v>3364000000</v>
      </c>
      <c r="D11" s="18">
        <v>2646000000</v>
      </c>
      <c r="E11" s="18">
        <v>2488000000</v>
      </c>
      <c r="F11" s="6" t="s">
        <v>102</v>
      </c>
    </row>
    <row r="12" spans="1:6" x14ac:dyDescent="0.25">
      <c r="A12" t="s">
        <v>34</v>
      </c>
      <c r="B12" s="34">
        <v>994000000</v>
      </c>
      <c r="C12" s="34">
        <v>1001000000</v>
      </c>
      <c r="D12" s="34">
        <v>1015000000</v>
      </c>
      <c r="E12" s="34">
        <v>987000000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