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<sst xmlns="http://schemas.openxmlformats.org/spreadsheetml/2006/main" count="114" uniqueCount="102">
  <si>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Bankinter, S.A. (BKT.MC)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</si>
  <si>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</si>
  <si>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</si>
  <si>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</si>
  <si>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</si>
  <si>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</si>
  <si>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</si>
  <si>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</si>
  <si>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</si>
  <si>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</si>
  <si>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</si>
  <si>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</si>
  <si>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</si>
  <si>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</si>
  <si>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</si>
  <si>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</si>
  <si>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</si>
  <si>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</si>
  <si>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</si>
  <si>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</si>
  <si>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</si>
  <si>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</si>
  <si>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15.0%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</si>
  <si>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</si>
  <si>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</si>
  <si>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</si>
  <si>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</si>
  <si>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</si>
  <si>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</si>
  <si>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</si>
  <si>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</si>
  <si>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</si>
  <si>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</si>
  <si>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</si>
  <si>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</si>
  <si>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</si>
  <si>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</si>
  <si>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</si>
  <si>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</si>
  <si>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</si>
  <si>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</si>
  <si>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</si>
  <si>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</si>
  <si>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</si>
  <si>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</si>
  <si>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</si>
  <si>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</si>
  <si>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</si>
  <si>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</si>
  <si>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</si>
  <si>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</si>
  <si>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</si>
  <si>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</si>
  <si>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</si>
  <si>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</si>
  <si>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</si>
  <si>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</si>
  <si>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</si>
  <si>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</si>
  <si>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</si>
  <si>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</si>
  <si>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</si>
  <si>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</si>
  <si>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</si>
  <si>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</si>
  <si>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</si>
  <si>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</si>
  <si>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</si>
  <si>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</si>
  <si>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</si>
  <si>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</si>
  <si>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</si>
  <si>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</si>
  <si>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</si>
  <si>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</si>
  <si>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</si>
  <si>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</si>
  <si>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</si>
  <si>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</si>
  <si>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</si>
  <si>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</si>
  <si>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</si>
  <si>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</si>
  <si>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</si>
  <si>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</si>
  <si>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</si>
  <si>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</si>
  <si>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</si>
  <si>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</si>
  <si>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</si>
  <si>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</si>
  <si>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</si>
  <si>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</si>
  <si>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</si>
  <si>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</si>
  <si>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</si>
  <si>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</si>
  <si>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</si>
  <si>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</si>
  <si>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4.1% of revenue against depreciation of 3.0%.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</si>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</sst>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0.11411551369233397</v>
      </c>
    </row>
    <row r="7" spans="1:2" x14ac:dyDescent="0.25">
      <c r="A7" t="s">
        <v>5</v>
      </c>
      <c r="B7" s="6">
        <v>0.42515011880829456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0.03020587498835986</v>
      </c>
    </row>
    <row r="10" spans="1:2" x14ac:dyDescent="0.25">
      <c r="A10" t="s">
        <v>8</v>
      </c>
      <c r="B10" s="6">
        <v>0.041398722843077496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5.341566577424308</v>
      </c>
    </row>
    <row r="14" spans="1:3" x14ac:dyDescent="0.25">
      <c r="A14" t="s">
        <v>12</v>
      </c>
      <c r="B14" s="6">
        <v>0.06252683830224265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0.36082</v>
      </c>
      <c r="C19" s="8" t="s">
        <v>19</v>
      </c>
    </row>
    <row r="20" spans="1:2" x14ac:dyDescent="0.25">
      <c r="A20" t="s">
        <v>20</v>
      </c>
      <c r="B20" s="10">
        <f>B17+B19*B18</f>
        <v>0.0654533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14815008768</v>
      </c>
    </row>
    <row r="23" spans="1:2" x14ac:dyDescent="0.25">
      <c r="A23" t="s">
        <v>24</v>
      </c>
      <c r="B23" s="11">
        <v>11940846000</v>
      </c>
    </row>
    <row r="24" spans="1:2" x14ac:dyDescent="0.25">
      <c r="A24" t="s">
        <v>25</v>
      </c>
      <c r="B24" s="10">
        <f>B22/(B22+B23)</f>
        <v>0.553710912862285</v>
      </c>
    </row>
    <row r="25" spans="1:2" x14ac:dyDescent="0.25">
      <c r="A25" t="s">
        <v>26</v>
      </c>
      <c r="B25" s="10">
        <f>1-B24</f>
        <v>0.446289087137715</v>
      </c>
    </row>
    <row r="26" spans="1:2" x14ac:dyDescent="0.25">
      <c r="A26" t="s">
        <v>27</v>
      </c>
      <c r="B26" s="12">
        <f>B24*B20+B25*B21*(1-B8)</f>
        <v>0.05699464904475275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3128426000</v>
      </c>
      <c r="C29" s="8" t="s">
        <v>30</v>
      </c>
    </row>
    <row r="30" spans="1:2" x14ac:dyDescent="0.25">
      <c r="A30" t="s">
        <v>31</v>
      </c>
      <c r="B30" s="11">
        <v>-6132100000</v>
      </c>
    </row>
    <row r="31" spans="1:2" x14ac:dyDescent="0.25">
      <c r="A31" t="s">
        <v>32</v>
      </c>
      <c r="B31" s="13">
        <v>898866000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0.11411551369233397</v>
      </c>
      <c r="C5" s="10">
        <f>Assumptions!B6</f>
        <v>0.11411551369233397</v>
      </c>
      <c r="D5" s="10">
        <f>Assumptions!B6</f>
        <v>0.11411551369233397</v>
      </c>
      <c r="E5" s="10">
        <f>Assumptions!B6</f>
        <v>0.11411551369233397</v>
      </c>
      <c r="F5" s="10">
        <f>Assumptions!B6</f>
        <v>0.11411551369233397</v>
      </c>
    </row>
    <row r="6" spans="1:6" x14ac:dyDescent="0.25">
      <c r="A6" t="s">
        <v>43</v>
      </c>
      <c r="B6" s="18">
        <f>Assumptions!B29*(1+B5)</f>
        <v>3485427940.0384536</v>
      </c>
      <c r="C6" s="18">
        <f>B6*(1+C5)</f>
        <v>3883169339.853555</v>
      </c>
      <c r="D6" s="18">
        <f>C6*(1+D5)</f>
        <v>4326299203.825265</v>
      </c>
      <c r="E6" s="18">
        <f>D6*(1+E5)</f>
        <v>4819997059.856521</v>
      </c>
      <c r="F6" s="18">
        <f>E6*(1+F5)</f>
        <v>5370033500.337587</v>
      </c>
    </row>
    <row r="7" spans="1:6" x14ac:dyDescent="0.25">
      <c r="A7" t="s">
        <v>5</v>
      </c>
      <c r="B7" s="10">
        <f>Assumptions!B7</f>
        <v>0.42515011880829456</v>
      </c>
      <c r="C7" s="10">
        <f>Assumptions!B7</f>
        <v>0.42515011880829456</v>
      </c>
      <c r="D7" s="10">
        <f>Assumptions!B7</f>
        <v>0.42515011880829456</v>
      </c>
      <c r="E7" s="10">
        <f>Assumptions!B7</f>
        <v>0.42515011880829456</v>
      </c>
      <c r="F7" s="10">
        <f>Assumptions!B7</f>
        <v>0.42515011880829456</v>
      </c>
    </row>
    <row r="8" spans="1:6" x14ac:dyDescent="0.25">
      <c r="A8" t="s">
        <v>44</v>
      </c>
      <c r="B8" s="18">
        <f>B6*B7</f>
        <v>1481830102.8050978</v>
      </c>
      <c r="C8" s="18">
        <f>C6*C7</f>
        <v>1650929906.1914659</v>
      </c>
      <c r="D8" s="18">
        <f>D6*D7</f>
        <v>1839326620.5065415</v>
      </c>
      <c r="E8" s="18">
        <f>E6*E7</f>
        <v>2049222322.6536303</v>
      </c>
      <c r="F8" s="18">
        <f>F6*F7</f>
        <v>2283070380.673047</v>
      </c>
    </row>
    <row r="9" spans="1:6" x14ac:dyDescent="0.25">
      <c r="A9" t="s">
        <v>45</v>
      </c>
      <c r="B9" s="18">
        <f>B8*(1-Assumptions!B8)</f>
        <v>1111372577.1038234</v>
      </c>
      <c r="C9" s="18">
        <f>C8*(1-Assumptions!B8)</f>
        <v>1238197429.6435995</v>
      </c>
      <c r="D9" s="18">
        <f>D8*(1-Assumptions!B8)</f>
        <v>1379494965.3799062</v>
      </c>
      <c r="E9" s="18">
        <f>E8*(1-Assumptions!B8)</f>
        <v>1536916741.9902227</v>
      </c>
      <c r="F9" s="18">
        <f>F8*(1-Assumptions!B8)</f>
        <v>1712302785.5047853</v>
      </c>
    </row>
    <row r="10" spans="1:6" x14ac:dyDescent="0.25">
      <c r="A10" t="s">
        <v>46</v>
      </c>
      <c r="B10" s="18">
        <f>B6*Assumptions!B9</f>
        <v>105280400.63773815</v>
      </c>
      <c r="C10" s="18">
        <f>C6*Assumptions!B9</f>
        <v>117294527.63824837</v>
      </c>
      <c r="D10" s="18">
        <f>D6*Assumptions!B9</f>
        <v>130679652.91298674</v>
      </c>
      <c r="E10" s="18">
        <f>E6*Assumptions!B9</f>
        <v>145592228.63428813</v>
      </c>
      <c r="F10" s="18">
        <f>F6*Assumptions!B9</f>
        <v>162206560.59450167</v>
      </c>
    </row>
    <row r="11" spans="1:6" x14ac:dyDescent="0.25">
      <c r="A11" t="s">
        <v>47</v>
      </c>
      <c r="B11" s="18">
        <f>-B6*Assumptions!B10</f>
        <v>-144292265.27917045</v>
      </c>
      <c r="C11" s="18">
        <f>-C6*Assumptions!B10</f>
        <v>-160758251.25333354</v>
      </c>
      <c r="D11" s="18">
        <f>-D6*Assumptions!B10</f>
        <v>-179103261.675389</v>
      </c>
      <c r="E11" s="18">
        <f>-E6*Assumptions!B10</f>
        <v>-199541722.38544852</v>
      </c>
      <c r="F11" s="18">
        <f>-F6*Assumptions!B10</f>
        <v>-222312528.5385171</v>
      </c>
    </row>
    <row r="12" spans="1:6" x14ac:dyDescent="0.25">
      <c r="A12" t="s">
        <v>48</v>
      </c>
      <c r="B12" s="18">
        <f>-(B6-Assumptions!B29)*Assumptions!B11</f>
        <v>-357001940.0384536</v>
      </c>
      <c r="C12" s="18">
        <f>-(C6-B6)*Assumptions!B11</f>
        <v>-397741399.8151016</v>
      </c>
      <c r="D12" s="18">
        <f>-(D6-C6)*Assumptions!B11</f>
        <v>-443129863.9717097</v>
      </c>
      <c r="E12" s="18">
        <f>-(E6-D6)*Assumptions!B11</f>
        <v>-493697856.0312557</v>
      </c>
      <c r="F12" s="18">
        <f>-(F6-E6)*Assumptions!B11</f>
        <v>-550036440.4810667</v>
      </c>
    </row>
    <row r="13" spans="1:6" x14ac:dyDescent="0.25">
      <c r="A13" s="19" t="s">
        <v>49</v>
      </c>
      <c r="B13" s="20">
        <f>B9+B10+B11+B12</f>
        <v>715358772.4239376</v>
      </c>
      <c r="C13" s="20">
        <f>C9+C10+C11+C12</f>
        <v>796992306.2134128</v>
      </c>
      <c r="D13" s="20">
        <f>D9+D10+D11+D12</f>
        <v>887941492.6457942</v>
      </c>
      <c r="E13" s="20">
        <f>E9+E10+E11+E12</f>
        <v>989269392.2078066</v>
      </c>
      <c r="F13" s="20">
        <f>F9+F10+F11+F12</f>
        <v>1102160377.0797033</v>
      </c>
    </row>
    <row r="14" spans="1:6" x14ac:dyDescent="0.25">
      <c r="A14" t="s">
        <v>50</v>
      </c>
      <c r="B14" s="21">
        <f>1/(1+Assumptions!$B$26)^(1-0.5*Assumptions!$B$32)</f>
        <v>0.9726657098832788</v>
      </c>
      <c r="C14" s="21">
        <f>1/(1+Assumptions!$B$26)^(2-0.5*Assumptions!$B$32)</f>
        <v>0.9202181967168089</v>
      </c>
      <c r="D14" s="21">
        <f>1/(1+Assumptions!$B$26)^(3-0.5*Assumptions!$B$32)</f>
        <v>0.8705987277688169</v>
      </c>
      <c r="E14" s="21">
        <f>1/(1+Assumptions!$B$26)^(4-0.5*Assumptions!$B$32)</f>
        <v>0.8236548108882206</v>
      </c>
      <c r="F14" s="21">
        <f>1/(1+Assumptions!$B$26)^(5-0.5*Assumptions!$B$32)</f>
        <v>0.7792421765167775</v>
      </c>
    </row>
    <row r="15" spans="1:6" x14ac:dyDescent="0.25">
      <c r="A15" s="19" t="s">
        <v>51</v>
      </c>
      <c r="B15" s="20">
        <f>B13*B14</f>
        <v>695804948.2009602</v>
      </c>
      <c r="C15" s="20">
        <f>C13*C14</f>
        <v>733406822.8208774</v>
      </c>
      <c r="D15" s="20">
        <f>D13*D14</f>
        <v>773040733.8305726</v>
      </c>
      <c r="E15" s="20">
        <f>E13*E14</f>
        <v>814816494.1564258</v>
      </c>
      <c r="F15" s="20">
        <f>F13*F14</f>
        <v>858849851.1061403</v>
      </c>
    </row>
    <row r="17" spans="1:2" x14ac:dyDescent="0.25">
      <c r="A17" s="22" t="s">
        <v>52</v>
      </c>
      <c r="B17" s="23">
        <f>SUM(B15:F15)</f>
        <v>3875918850.1149764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1102160377.0797033</v>
      </c>
    </row>
    <row r="5" spans="1:2" x14ac:dyDescent="0.25">
      <c r="A5" t="s">
        <v>56</v>
      </c>
      <c r="B5" s="18">
        <f>IF(Assumptions!$B$33=0,B4,B4-Forecast!F11-Forecast!F10-Forecast!F12)</f>
        <v>1741384431.9355807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0.3998283085921414</v>
      </c>
    </row>
    <row r="7" spans="1:2" x14ac:dyDescent="0.25">
      <c r="A7" t="s">
        <v>58</v>
      </c>
      <c r="B7" s="18">
        <f>-MAX(Forecast!F9,0)*B6</f>
        <v>-696254792.0294902</v>
      </c>
    </row>
    <row r="8" spans="1:2" x14ac:dyDescent="0.25">
      <c r="A8" t="s">
        <v>59</v>
      </c>
      <c r="B8" s="18">
        <f>IF(OR(Assumptions!$B$33=0,Assumptions!B12&lt;=0),B5,MAX(B5+B7,0))</f>
        <v>1045129639.9060905</v>
      </c>
    </row>
    <row r="9" spans="1:2" x14ac:dyDescent="0.25">
      <c r="A9" t="s">
        <v>60</v>
      </c>
      <c r="B9" s="18">
        <f>B8*(1+Assumptions!B12)/(Assumptions!B26-Assumptions!B12)</f>
        <v>33482407617.76486</v>
      </c>
    </row>
    <row r="10" spans="1:2" x14ac:dyDescent="0.25">
      <c r="A10" t="s">
        <v>61</v>
      </c>
      <c r="B10" s="18">
        <f>B9/(1+Assumptions!B26)^(5-0.5*Assumptions!B32)</f>
        <v>26090904187.08902</v>
      </c>
    </row>
    <row r="11" spans="1:2" x14ac:dyDescent="0.25">
      <c r="A11" t="s">
        <v>62</v>
      </c>
      <c r="B11" s="18">
        <f>Forecast!B17+B10</f>
        <v>29966823037.203995</v>
      </c>
    </row>
    <row r="12" spans="1:2" x14ac:dyDescent="0.25">
      <c r="A12" t="s">
        <v>63</v>
      </c>
      <c r="B12" s="18">
        <f>-Assumptions!B30</f>
        <v>6132100000</v>
      </c>
    </row>
    <row r="13" spans="1:2" x14ac:dyDescent="0.25">
      <c r="A13" t="s">
        <v>64</v>
      </c>
      <c r="B13" s="18">
        <f>B11+B12</f>
        <v>36098923037.203995</v>
      </c>
    </row>
    <row r="14" spans="1:2" x14ac:dyDescent="0.25">
      <c r="A14" s="19" t="s">
        <v>65</v>
      </c>
      <c r="B14" s="24">
        <f>B13/Assumptions!B31</f>
        <v>40.160516736870676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2445276941.2675486</v>
      </c>
    </row>
    <row r="18" spans="1:2" x14ac:dyDescent="0.25">
      <c r="A18" t="s">
        <v>60</v>
      </c>
      <c r="B18" s="18">
        <f>B17*Assumptions!B13</f>
        <v>13061609582.02108</v>
      </c>
    </row>
    <row r="19" spans="1:2" x14ac:dyDescent="0.25">
      <c r="A19" t="s">
        <v>61</v>
      </c>
      <c r="B19" s="18">
        <f>B18/(1+Assumptions!B26)^(5-0.5*Assumptions!B32)</f>
        <v>10178157079.506502</v>
      </c>
    </row>
    <row r="20" spans="1:2" x14ac:dyDescent="0.25">
      <c r="A20" t="s">
        <v>62</v>
      </c>
      <c r="B20" s="18">
        <f>Forecast!B17+B19</f>
        <v>14054075929.621479</v>
      </c>
    </row>
    <row r="21" spans="1:2" x14ac:dyDescent="0.25">
      <c r="A21" t="s">
        <v>63</v>
      </c>
      <c r="B21" s="18">
        <f>-Assumptions!B30</f>
        <v>6132100000</v>
      </c>
    </row>
    <row r="22" spans="1:2" x14ac:dyDescent="0.25">
      <c r="A22" t="s">
        <v>64</v>
      </c>
      <c r="B22" s="18">
        <f>B20+B21</f>
        <v>20186175929.62148</v>
      </c>
    </row>
    <row r="23" spans="1:2" x14ac:dyDescent="0.25">
      <c r="A23" s="19" t="s">
        <v>65</v>
      </c>
      <c r="B23" s="25">
        <f>B22/Assumptions!B31</f>
        <v>22.457380665885104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16.485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40.160516736870676</v>
      </c>
    </row>
    <row r="29" spans="1:2" x14ac:dyDescent="0.25">
      <c r="A29" s="19" t="s">
        <v>73</v>
      </c>
      <c r="B29" s="12">
        <f>B28/B26-1</f>
        <v>1.4361854253485395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0.036995</v>
      </c>
      <c r="B5" s="31">
        <v>69.06148327579962</v>
      </c>
      <c r="C5" s="31">
        <v>78.5110206364468</v>
      </c>
      <c r="D5" s="31">
        <v>95.72877982957243</v>
      </c>
      <c r="E5" s="31">
        <v>137.37284913068433</v>
      </c>
      <c r="F5" s="31">
        <v>387.09969551712334</v>
      </c>
    </row>
    <row r="6" spans="1:6" x14ac:dyDescent="0.25">
      <c r="A6" s="30">
        <v>0.046995</v>
      </c>
      <c r="B6" s="31">
        <v>49.235713774574904</v>
      </c>
      <c r="C6" s="31">
        <v>51.73392615848868</v>
      </c>
      <c r="D6" s="31">
        <v>55.31066439723547</v>
      </c>
      <c r="E6" s="31">
        <v>60.91784892756108</v>
      </c>
      <c r="F6" s="31">
        <v>71.094595578868</v>
      </c>
    </row>
    <row r="7" spans="1:6" x14ac:dyDescent="0.25">
      <c r="A7" s="30">
        <v>0.056995</v>
      </c>
      <c r="B7" s="31">
        <v>38.86804014834175</v>
      </c>
      <c r="C7" s="31">
        <v>39.44309465428457</v>
      </c>
      <c r="D7" s="32">
        <v>40.16015124472218</v>
      </c>
      <c r="E7" s="31">
        <v>41.09811457856999</v>
      </c>
      <c r="F7" s="31">
        <v>42.40763712916979</v>
      </c>
    </row>
    <row r="8" spans="1:6" x14ac:dyDescent="0.25">
      <c r="A8" s="30">
        <v>0.066995</v>
      </c>
      <c r="B8" s="31">
        <v>32.95255662785686</v>
      </c>
      <c r="C8" s="31">
        <v>33.06054987200399</v>
      </c>
      <c r="D8" s="31">
        <v>33.16854311615111</v>
      </c>
      <c r="E8" s="31">
        <v>33.276536360298245</v>
      </c>
      <c r="F8" s="31">
        <v>33.38452960444536</v>
      </c>
    </row>
    <row r="9" spans="1:6" x14ac:dyDescent="0.25">
      <c r="A9" s="30">
        <v>0.076995</v>
      </c>
      <c r="B9" s="31">
        <v>29.221153053176067</v>
      </c>
      <c r="C9" s="31">
        <v>29.311257369004387</v>
      </c>
      <c r="D9" s="31">
        <v>29.401361684832704</v>
      </c>
      <c r="E9" s="31">
        <v>29.49146600066103</v>
      </c>
      <c r="F9" s="31">
        <v>29.581570316489348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3128426000</v>
      </c>
      <c r="C5" s="18">
        <v>3082391000</v>
      </c>
      <c r="D5" s="18">
        <v>2913716000</v>
      </c>
      <c r="E5" s="18">
        <v>2262222000</v>
      </c>
      <c r="F5" s="8" t="s">
        <v>84</v>
      </c>
    </row>
    <row r="6" spans="1:6" x14ac:dyDescent="0.25">
      <c r="A6" t="s">
        <v>44</v>
      </c>
      <c r="B6" s="18">
        <v>1535178000</v>
      </c>
      <c r="C6" s="18">
        <v>1359698000</v>
      </c>
      <c r="D6" s="18">
        <v>1228840000</v>
      </c>
      <c r="E6" s="18">
        <v>785037000</v>
      </c>
      <c r="F6" s="8" t="s">
        <v>85</v>
      </c>
    </row>
    <row r="7" spans="1:6" x14ac:dyDescent="0.25">
      <c r="A7" t="s">
        <v>86</v>
      </c>
      <c r="B7" s="18">
        <v>90358000</v>
      </c>
      <c r="C7" s="18">
        <v>87453000</v>
      </c>
      <c r="D7" s="18">
        <v>82069000</v>
      </c>
      <c r="E7" s="18">
        <v>80088000</v>
      </c>
      <c r="F7" s="8" t="s">
        <v>87</v>
      </c>
    </row>
    <row r="8" spans="1:6" x14ac:dyDescent="0.25">
      <c r="A8" t="s">
        <v>88</v>
      </c>
      <c r="B8" s="18">
        <v>167737000</v>
      </c>
      <c r="C8" s="18">
        <v>151101000</v>
      </c>
      <c r="D8" s="18">
        <v>90382000</v>
      </c>
      <c r="E8" s="18">
        <v>72250000</v>
      </c>
      <c r="F8" s="8" t="s">
        <v>89</v>
      </c>
    </row>
    <row r="9" spans="1:6" x14ac:dyDescent="0.25">
      <c r="A9" t="s">
        <v>90</v>
      </c>
      <c r="B9" s="18">
        <v>2237374000</v>
      </c>
      <c r="C9" s="18">
        <v>-364236000</v>
      </c>
      <c r="D9" s="18">
        <v>779627000</v>
      </c>
      <c r="E9" s="18">
        <v>9346242000</v>
      </c>
      <c r="F9" s="8" t="s">
        <v>91</v>
      </c>
    </row>
    <row r="10" spans="1:6" x14ac:dyDescent="0.25">
      <c r="A10" t="s">
        <v>92</v>
      </c>
      <c r="B10" s="18">
        <v>11940846000</v>
      </c>
      <c r="C10" s="18">
        <v>9706475000</v>
      </c>
      <c r="D10" s="18">
        <v>9466693000</v>
      </c>
      <c r="E10" s="18">
        <v>7788923000</v>
      </c>
      <c r="F10" s="8" t="s">
        <v>93</v>
      </c>
    </row>
    <row r="11" spans="1:6" x14ac:dyDescent="0.25">
      <c r="A11" t="s">
        <v>94</v>
      </c>
      <c r="B11" s="18">
        <v>18072946000</v>
      </c>
      <c r="C11" s="18">
        <v>18014156000</v>
      </c>
      <c r="D11" s="18">
        <v>16106263000</v>
      </c>
      <c r="E11" s="18">
        <v>15586721000</v>
      </c>
      <c r="F11" s="8" t="s">
        <v>95</v>
      </c>
    </row>
    <row r="12" spans="1:6" x14ac:dyDescent="0.25">
      <c r="A12" t="s">
        <v>32</v>
      </c>
      <c r="B12" s="34">
        <v>898866000</v>
      </c>
      <c r="C12" s="34">
        <v>898866000</v>
      </c>
      <c r="D12" s="34">
        <v>898866000</v>
      </c>
      <c r="E12" s="34">
        <v>898866000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