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<sst xmlns="http://schemas.openxmlformats.org/spreadsheetml/2006/main" count="119" uniqueCount="106">
  <si>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Builders FirstSource, Inc. (BLDR)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</si>
  <si>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</si>
  <si>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</si>
  <si>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</si>
  <si>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</si>
  <si>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</si>
  <si>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</si>
  <si>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</si>
  <si>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</si>
  <si>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</si>
  <si>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</si>
  <si>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</si>
  <si>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</si>
  <si>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</si>
  <si>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</si>
  <si>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</si>
  <si>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</si>
  <si>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</si>
  <si>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</si>
  <si>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</si>
  <si>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</si>
  <si>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</si>
  <si>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</si>
  <si>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</si>
  <si>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2.9x interest cover. Book interest / average debt was lower, at 5.8%.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</si>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</sst>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-0.05415484853236574</v>
      </c>
    </row>
    <row r="7" spans="1:2" x14ac:dyDescent="0.25">
      <c r="A7" t="s">
        <v>4</v>
      </c>
      <c r="B7" s="5">
        <v>0.11055355553063853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0.03193116442275438</v>
      </c>
    </row>
    <row r="10" spans="1:3" x14ac:dyDescent="0.25">
      <c r="A10" t="s">
        <v>7</v>
      </c>
      <c r="B10" s="5">
        <v>0.022475569115511112</v>
      </c>
      <c r="C10" s="6" t="s">
        <v>8</v>
      </c>
    </row>
    <row r="11" spans="1:2" x14ac:dyDescent="0.25">
      <c r="A11" t="s">
        <v>9</v>
      </c>
      <c r="B11" s="5">
        <v>0.0933880470293858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8.867175488565065</v>
      </c>
    </row>
    <row r="14" spans="1:3" x14ac:dyDescent="0.25">
      <c r="A14" t="s">
        <v>12</v>
      </c>
      <c r="B14" s="5">
        <v>0.1873912174150528</v>
      </c>
      <c r="C14" s="6" t="s">
        <v>13</v>
      </c>
    </row>
    <row r="15" spans="1:3" x14ac:dyDescent="0.25">
      <c r="A15" t="s">
        <v>14</v>
      </c>
      <c r="B15" s="5">
        <v>0.03193116442275438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1.29413</v>
      </c>
      <c r="C19" s="6" t="s">
        <v>21</v>
      </c>
    </row>
    <row r="20" spans="1:2" x14ac:dyDescent="0.25">
      <c r="A20" t="s">
        <v>22</v>
      </c>
      <c r="B20" s="9">
        <f>B17+B19*B18</f>
        <v>0.103681699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7297860608</v>
      </c>
    </row>
    <row r="23" spans="1:2" x14ac:dyDescent="0.25">
      <c r="A23" t="s">
        <v>26</v>
      </c>
      <c r="B23" s="10">
        <v>5100271000</v>
      </c>
    </row>
    <row r="24" spans="1:2" x14ac:dyDescent="0.25">
      <c r="A24" t="s">
        <v>27</v>
      </c>
      <c r="B24" s="9">
        <f>B22/(B22+B23)</f>
        <v>0.5886258380489358</v>
      </c>
    </row>
    <row r="25" spans="1:2" x14ac:dyDescent="0.25">
      <c r="A25" t="s">
        <v>28</v>
      </c>
      <c r="B25" s="9">
        <f>1-B24</f>
        <v>0.41137416195106424</v>
      </c>
    </row>
    <row r="26" spans="1:2" x14ac:dyDescent="0.25">
      <c r="A26" t="s">
        <v>29</v>
      </c>
      <c r="B26" s="11">
        <f>B24*B20+B25*B21*(1-B8)</f>
        <v>0.08054186166421061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15190638000</v>
      </c>
      <c r="C29" s="6" t="s">
        <v>32</v>
      </c>
    </row>
    <row r="30" spans="1:2" x14ac:dyDescent="0.25">
      <c r="A30" t="s">
        <v>33</v>
      </c>
      <c r="B30" s="10">
        <v>4918518000</v>
      </c>
    </row>
    <row r="31" spans="1:2" x14ac:dyDescent="0.25">
      <c r="A31" t="s">
        <v>34</v>
      </c>
      <c r="B31" s="12">
        <v>111800000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-0.05415484853236574</v>
      </c>
      <c r="C5" s="5">
        <v>-0.019960296746560524</v>
      </c>
      <c r="D5" s="5">
        <v>-0.01434025965324046</v>
      </c>
      <c r="E5" s="5">
        <v>-0.008720222559920393</v>
      </c>
      <c r="F5" s="5">
        <v>-0.003100185466600326</v>
      </c>
      <c r="G5" s="5">
        <v>0.0025198516267197386</v>
      </c>
      <c r="H5" s="5">
        <v>0.008139888720039803</v>
      </c>
      <c r="I5" s="5">
        <v>0.013759925813359872</v>
      </c>
      <c r="J5" s="5">
        <v>0.019379962906679933</v>
      </c>
      <c r="K5" s="5">
        <v>0.025</v>
      </c>
    </row>
    <row r="6" spans="1:11" x14ac:dyDescent="0.25">
      <c r="A6" t="s">
        <v>50</v>
      </c>
      <c r="B6" s="18">
        <f>Assumptions!B29*(1+B5)</f>
        <v>14367991300</v>
      </c>
      <c r="C6" s="18">
        <f>B6*(1+C5)</f>
        <v>14081201930</v>
      </c>
      <c r="D6" s="18">
        <f>C6*(1+D5)</f>
        <v>13879273838.09409</v>
      </c>
      <c r="E6" s="18">
        <f>D6*(1+E5)</f>
        <v>13758243481.255827</v>
      </c>
      <c r="F6" s="18">
        <f>E6*(1+F5)</f>
        <v>13715590374.769289</v>
      </c>
      <c r="G6" s="18">
        <f>F6*(1+G5)</f>
        <v>13750151627.486572</v>
      </c>
      <c r="H6" s="18">
        <f>G6*(1+H5)</f>
        <v>13862076331.617989</v>
      </c>
      <c r="I6" s="18">
        <f>H6*(1+I5)</f>
        <v>14052817473.560183</v>
      </c>
      <c r="J6" s="18">
        <f>I6*(1+J5)</f>
        <v>14325160554.932123</v>
      </c>
      <c r="K6" s="18">
        <f>J6*(1+K5)</f>
        <v>14683289568.805426</v>
      </c>
    </row>
    <row r="7" spans="1:11" x14ac:dyDescent="0.25">
      <c r="A7" t="s">
        <v>4</v>
      </c>
      <c r="B7" s="9">
        <f>Assumptions!B7</f>
        <v>0.11055355553063853</v>
      </c>
      <c r="C7" s="9">
        <f>Assumptions!B7</f>
        <v>0.11055355553063853</v>
      </c>
      <c r="D7" s="9">
        <f>Assumptions!B7</f>
        <v>0.11055355553063853</v>
      </c>
      <c r="E7" s="9">
        <f>Assumptions!B7</f>
        <v>0.11055355553063853</v>
      </c>
      <c r="F7" s="9">
        <f>Assumptions!B7</f>
        <v>0.11055355553063853</v>
      </c>
      <c r="G7" s="9">
        <f>Assumptions!B7</f>
        <v>0.11055355553063853</v>
      </c>
      <c r="H7" s="9">
        <f>Assumptions!B7</f>
        <v>0.11055355553063853</v>
      </c>
      <c r="I7" s="9">
        <f>Assumptions!B7</f>
        <v>0.11055355553063853</v>
      </c>
      <c r="J7" s="9">
        <f>Assumptions!B7</f>
        <v>0.11055355553063853</v>
      </c>
      <c r="K7" s="9">
        <f>Assumptions!B7</f>
        <v>0.11055355553063853</v>
      </c>
    </row>
    <row r="8" spans="1:11" x14ac:dyDescent="0.25">
      <c r="A8" t="s">
        <v>51</v>
      </c>
      <c r="B8" s="18">
        <f>B6*B7</f>
        <v>1588432524.0482812</v>
      </c>
      <c r="C8" s="18">
        <f>C6*C7</f>
        <v>1556726939.5063894</v>
      </c>
      <c r="D8" s="18">
        <f>D6*D7</f>
        <v>1534403070.9846735</v>
      </c>
      <c r="E8" s="18">
        <f>E6*E7</f>
        <v>1521022734.7090616</v>
      </c>
      <c r="F8" s="18">
        <f>F6*F7</f>
        <v>1516307282.1325479</v>
      </c>
      <c r="G8" s="18">
        <f>G6*G7</f>
        <v>1520128151.5040364</v>
      </c>
      <c r="H8" s="18">
        <f>H6*H7</f>
        <v>1532501825.4974794</v>
      </c>
      <c r="I8" s="18">
        <f>I6*I7</f>
        <v>1553588936.925163</v>
      </c>
      <c r="J8" s="18">
        <f>J6*J7</f>
        <v>1583697432.8950012</v>
      </c>
      <c r="K8" s="18">
        <f>K6*K7</f>
        <v>1623289868.7173762</v>
      </c>
    </row>
    <row r="9" spans="1:11" x14ac:dyDescent="0.25">
      <c r="A9" t="s">
        <v>52</v>
      </c>
      <c r="B9" s="18">
        <f>B8*(1-Assumptions!B8)</f>
        <v>1254861693.9981422</v>
      </c>
      <c r="C9" s="18">
        <f>C8*(1-Assumptions!B8)</f>
        <v>1229814282.2100477</v>
      </c>
      <c r="D9" s="18">
        <f>D8*(1-Assumptions!B8)</f>
        <v>1212178426.077892</v>
      </c>
      <c r="E9" s="18">
        <f>E8*(1-Assumptions!B8)</f>
        <v>1201607960.4201586</v>
      </c>
      <c r="F9" s="18">
        <f>F8*(1-Assumptions!B8)</f>
        <v>1197882752.884713</v>
      </c>
      <c r="G9" s="18">
        <f>G8*(1-Assumptions!B8)</f>
        <v>1200901239.6881888</v>
      </c>
      <c r="H9" s="18">
        <f>H8*(1-Assumptions!B8)</f>
        <v>1210676442.1430087</v>
      </c>
      <c r="I9" s="18">
        <f>I8*(1-Assumptions!B8)</f>
        <v>1227335260.170879</v>
      </c>
      <c r="J9" s="18">
        <f>J8*(1-Assumptions!B8)</f>
        <v>1251120971.987051</v>
      </c>
      <c r="K9" s="18">
        <f>K8*(1-Assumptions!B8)</f>
        <v>1282398996.2867272</v>
      </c>
    </row>
    <row r="10" spans="1:11" x14ac:dyDescent="0.25">
      <c r="A10" t="s">
        <v>53</v>
      </c>
      <c r="B10" s="18">
        <f>B6*Assumptions!B9</f>
        <v>458786692.6250044</v>
      </c>
      <c r="C10" s="18">
        <f>C6*Assumptions!B9</f>
        <v>449629174.09683627</v>
      </c>
      <c r="D10" s="18">
        <f>D6*Assumptions!B9</f>
        <v>443181374.9926156</v>
      </c>
      <c r="E10" s="18">
        <f>E6*Assumptions!B9</f>
        <v>439316734.7682684</v>
      </c>
      <c r="F10" s="18">
        <f>F6*Assumptions!B9</f>
        <v>437954771.4119055</v>
      </c>
      <c r="G10" s="18">
        <f>G6*Assumptions!B9</f>
        <v>439058352.45507747</v>
      </c>
      <c r="H10" s="18">
        <f>H6*Assumptions!B9</f>
        <v>442632238.5856658</v>
      </c>
      <c r="I10" s="18">
        <f>I6*Assumptions!B9</f>
        <v>448722825.35120595</v>
      </c>
      <c r="J10" s="18">
        <f>J6*Assumptions!B9</f>
        <v>457419057.061893</v>
      </c>
      <c r="K10" s="18">
        <f>K6*Assumptions!B9</f>
        <v>468854533.4884403</v>
      </c>
    </row>
    <row r="11" spans="1:11" x14ac:dyDescent="0.25">
      <c r="A11" t="s">
        <v>54</v>
      </c>
      <c r="B11" s="18">
        <f>-B6*B19</f>
        <v>-322928781.51421237</v>
      </c>
      <c r="C11" s="18">
        <f>-C6*C19</f>
        <v>-349507090.9714634</v>
      </c>
      <c r="D11" s="18">
        <f>-D6*D19</f>
        <v>-377045558.6513788</v>
      </c>
      <c r="E11" s="18">
        <f>-E6*E19</f>
        <v>-406024280.06156605</v>
      </c>
      <c r="F11" s="18">
        <f>-F6*F19</f>
        <v>-436932139.50985444</v>
      </c>
      <c r="G11" s="18">
        <f>-G6*G19</f>
        <v>-470280808.77737254</v>
      </c>
      <c r="H11" s="18">
        <f>-H6*H19</f>
        <v>-506618999.7384346</v>
      </c>
      <c r="I11" s="18">
        <f>-I6*I19</f>
        <v>-546547534.4564424</v>
      </c>
      <c r="J11" s="18">
        <f>-J6*J19</f>
        <v>-590735815.2949136</v>
      </c>
      <c r="K11" s="18">
        <f>-K6*K19</f>
        <v>-639940325.8186034</v>
      </c>
    </row>
    <row r="12" spans="1:11" x14ac:dyDescent="0.25">
      <c r="A12" t="s">
        <v>55</v>
      </c>
      <c r="B12" s="18">
        <f>-(B6-Assumptions!B29)*Assumptions!B11</f>
        <v>76825368.70816903</v>
      </c>
      <c r="C12" s="18">
        <f>-(C6-B6)*Assumptions!B11</f>
        <v>26782699.173087925</v>
      </c>
      <c r="D12" s="18">
        <f>-(D6-C6)*Assumptions!B11</f>
        <v>18857670.143463306</v>
      </c>
      <c r="E12" s="18">
        <f>-(E6-D6)*Assumptions!B11</f>
        <v>11302788.656395009</v>
      </c>
      <c r="F12" s="18">
        <f>-(F6-E6)*Assumptions!B11</f>
        <v>3983290.3145142053</v>
      </c>
      <c r="G12" s="18">
        <f>-(G6-F6)*Assumptions!B11</f>
        <v>-3227607.894156136</v>
      </c>
      <c r="H12" s="18">
        <f>-(H6-G6)*Assumptions!B11</f>
        <v>-10452429.533174798</v>
      </c>
      <c r="I12" s="18">
        <f>-(I6-H6)*Assumptions!B11</f>
        <v>-17812942.734136365</v>
      </c>
      <c r="J12" s="18">
        <f>-(J6-I6)*Assumptions!B11</f>
        <v>-25433588.491290633</v>
      </c>
      <c r="K12" s="18">
        <f>-(K6-J6)*Assumptions!B11</f>
        <v>-33444969.19018753</v>
      </c>
    </row>
    <row r="13" spans="1:11" x14ac:dyDescent="0.25">
      <c r="A13" s="19" t="s">
        <v>56</v>
      </c>
      <c r="B13" s="20">
        <f>B9+B10+B11+B12</f>
        <v>1467544973.8171031</v>
      </c>
      <c r="C13" s="20">
        <f>C9+C10+C11+C12</f>
        <v>1356719064.5085084</v>
      </c>
      <c r="D13" s="20">
        <f>D9+D10+D11+D12</f>
        <v>1297171912.562592</v>
      </c>
      <c r="E13" s="20">
        <f>E9+E10+E11+E12</f>
        <v>1246203203.7832558</v>
      </c>
      <c r="F13" s="20">
        <f>F9+F10+F11+F12</f>
        <v>1202888675.1012783</v>
      </c>
      <c r="G13" s="20">
        <f>G9+G10+G11+G12</f>
        <v>1166451175.4717374</v>
      </c>
      <c r="H13" s="20">
        <f>H9+H10+H11+H12</f>
        <v>1136237251.457065</v>
      </c>
      <c r="I13" s="20">
        <f>I9+I10+I11+I12</f>
        <v>1111697608.331506</v>
      </c>
      <c r="J13" s="20">
        <f>J9+J10+J11+J12</f>
        <v>1092370625.2627397</v>
      </c>
      <c r="K13" s="20">
        <f>K9+K10+K11+K12</f>
        <v>1077868234.7663765</v>
      </c>
    </row>
    <row r="14" spans="1:11" x14ac:dyDescent="0.25">
      <c r="A14" t="s">
        <v>57</v>
      </c>
      <c r="B14" s="21">
        <f>1/(1+Assumptions!$B$26)^(1-0.5*Assumptions!$B$32)</f>
        <v>0.9620091474873776</v>
      </c>
      <c r="C14" s="21">
        <f>1/(1+Assumptions!$B$26)^(2-0.5*Assumptions!$B$32)</f>
        <v>0.8903025247034176</v>
      </c>
      <c r="D14" s="21">
        <f>1/(1+Assumptions!$B$26)^(3-0.5*Assumptions!$B$32)</f>
        <v>0.8239407988619771</v>
      </c>
      <c r="E14" s="21">
        <f>1/(1+Assumptions!$B$26)^(4-0.5*Assumptions!$B$32)</f>
        <v>0.7625255698959909</v>
      </c>
      <c r="F14" s="21">
        <f>1/(1+Assumptions!$B$26)^(5-0.5*Assumptions!$B$32)</f>
        <v>0.7056881338420125</v>
      </c>
      <c r="G14" s="21">
        <f>1/(1+Assumptions!$B$26)^(6-0.5*Assumptions!$B$32)</f>
        <v>0.6530872693401603</v>
      </c>
      <c r="H14" s="21">
        <f>1/(1+Assumptions!$B$26)^(7-0.5*Assumptions!$B$32)</f>
        <v>0.6044071891248151</v>
      </c>
      <c r="I14" s="21">
        <f>1/(1+Assumptions!$B$26)^(8-0.5*Assumptions!$B$32)</f>
        <v>0.5593556442079249</v>
      </c>
      <c r="J14" s="21">
        <f>1/(1+Assumptions!$B$26)^(9-0.5*Assumptions!$B$32)</f>
        <v>0.517662169373453</v>
      </c>
      <c r="K14" s="21">
        <f>1/(1+Assumptions!$B$26)^(10-0.5*Assumptions!$B$32)</f>
        <v>0.4790764594498625</v>
      </c>
    </row>
    <row r="15" spans="1:11" x14ac:dyDescent="0.25">
      <c r="A15" s="19" t="s">
        <v>58</v>
      </c>
      <c r="B15" s="20">
        <f>B13*B14</f>
        <v>1411791689.1611774</v>
      </c>
      <c r="C15" s="20">
        <f>C13*C14</f>
        <v>1207890408.445184</v>
      </c>
      <c r="D15" s="20">
        <f>D13*D14</f>
        <v>1068792861.8981408</v>
      </c>
      <c r="E15" s="20">
        <f>E13*E14</f>
        <v>950261808.1710367</v>
      </c>
      <c r="F15" s="20">
        <f>F13*F14</f>
        <v>848864264.3519119</v>
      </c>
      <c r="G15" s="20">
        <f>G13*G14</f>
        <v>761794413.0074571</v>
      </c>
      <c r="H15" s="20">
        <f>H13*H14</f>
        <v>686749963.3320704</v>
      </c>
      <c r="I15" s="20">
        <f>I13*I14</f>
        <v>621834331.872679</v>
      </c>
      <c r="J15" s="20">
        <f>J13*J14</f>
        <v>565478947.6333451</v>
      </c>
      <c r="K15" s="20">
        <f>K13*K14</f>
        <v>516381297.6653488</v>
      </c>
    </row>
    <row r="17" spans="1:2" x14ac:dyDescent="0.25">
      <c r="A17" s="22" t="s">
        <v>59</v>
      </c>
      <c r="B17" s="23">
        <f>SUM(B15:K15)</f>
        <v>8639839985.53835</v>
      </c>
    </row>
    <row r="19" spans="1:11" x14ac:dyDescent="0.25">
      <c r="A19" t="s">
        <v>7</v>
      </c>
      <c r="B19" s="9">
        <f>Assumptions!$B$10+($B$20-Assumptions!$B$10)*0/9</f>
        <v>0.022475569115511112</v>
      </c>
      <c r="C19" s="9">
        <f>Assumptions!$B$10+($B$20-Assumptions!$B$10)*1/9</f>
        <v>0.024820827988187466</v>
      </c>
      <c r="D19" s="9">
        <f>Assumptions!$B$10+($B$20-Assumptions!$B$10)*2/9</f>
        <v>0.02716608686086382</v>
      </c>
      <c r="E19" s="9">
        <f>Assumptions!$B$10+($B$20-Assumptions!$B$10)*3/9</f>
        <v>0.029511345733540174</v>
      </c>
      <c r="F19" s="9">
        <f>Assumptions!$B$10+($B$20-Assumptions!$B$10)*4/9</f>
        <v>0.03185660460621653</v>
      </c>
      <c r="G19" s="9">
        <f>Assumptions!$B$10+($B$20-Assumptions!$B$10)*5/9</f>
        <v>0.03420186347889288</v>
      </c>
      <c r="H19" s="9">
        <f>Assumptions!$B$10+($B$20-Assumptions!$B$10)*6/9</f>
        <v>0.03654712235156923</v>
      </c>
      <c r="I19" s="9">
        <f>Assumptions!$B$10+($B$20-Assumptions!$B$10)*7/9</f>
        <v>0.03889238122424559</v>
      </c>
      <c r="J19" s="9">
        <f>Assumptions!$B$10+($B$20-Assumptions!$B$10)*8/9</f>
        <v>0.04123764009692195</v>
      </c>
      <c r="K19" s="9">
        <f>Assumptions!$B$10+($B$20-Assumptions!$B$10)*9/9</f>
        <v>0.0435828989695983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0.0435828989695983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1077868234.7663765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1282398996.2867272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0.13341073474445445</v>
      </c>
    </row>
    <row r="7" spans="1:2" x14ac:dyDescent="0.25">
      <c r="A7" t="s">
        <v>66</v>
      </c>
      <c r="B7" s="18">
        <f>-MAX(B5,0)*B6</f>
        <v>-171085792.33016318</v>
      </c>
    </row>
    <row r="8" spans="1:2" x14ac:dyDescent="0.25">
      <c r="A8" t="s">
        <v>67</v>
      </c>
      <c r="B8" s="18">
        <f>IF(OR(Assumptions!$B$33=0,Assumptions!B12&lt;=0),B5,MAX(B5+B7,0))</f>
        <v>1111313203.956564</v>
      </c>
    </row>
    <row r="9" spans="1:2" x14ac:dyDescent="0.25">
      <c r="A9" t="s">
        <v>68</v>
      </c>
      <c r="B9" s="18">
        <f>B8*(1+Assumptions!B12)/(Assumptions!B26-Assumptions!B12)</f>
        <v>20508783824.03006</v>
      </c>
    </row>
    <row r="10" spans="1:2" x14ac:dyDescent="0.25">
      <c r="A10" t="s">
        <v>69</v>
      </c>
      <c r="B10" s="18">
        <f>B9/(1+Assumptions!B26)^(10-0.5*Assumptions!B32)</f>
        <v>9825275542.038933</v>
      </c>
    </row>
    <row r="11" spans="1:2" x14ac:dyDescent="0.25">
      <c r="A11" t="s">
        <v>70</v>
      </c>
      <c r="B11" s="18">
        <f>Forecast!B17+B10</f>
        <v>18465115527.577282</v>
      </c>
    </row>
    <row r="12" spans="1:2" x14ac:dyDescent="0.25">
      <c r="A12" t="s">
        <v>71</v>
      </c>
      <c r="B12" s="18">
        <f>-Assumptions!B30</f>
        <v>-4918518000</v>
      </c>
    </row>
    <row r="13" spans="1:2" x14ac:dyDescent="0.25">
      <c r="A13" t="s">
        <v>72</v>
      </c>
      <c r="B13" s="18">
        <f>B11+B12</f>
        <v>13546597527.577282</v>
      </c>
    </row>
    <row r="14" spans="1:2" x14ac:dyDescent="0.25">
      <c r="A14" s="19" t="s">
        <v>73</v>
      </c>
      <c r="B14" s="24">
        <f>B13/Assumptions!B31</f>
        <v>121.16813530927801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2092144402.2058165</v>
      </c>
    </row>
    <row r="18" spans="1:2" x14ac:dyDescent="0.25">
      <c r="A18" t="s">
        <v>68</v>
      </c>
      <c r="B18" s="18">
        <f>B17*Assumptions!B13</f>
        <v>18551411561.778027</v>
      </c>
    </row>
    <row r="19" spans="1:2" x14ac:dyDescent="0.25">
      <c r="A19" t="s">
        <v>69</v>
      </c>
      <c r="B19" s="18">
        <f>B18/(1+Assumptions!B26)^(10-0.5*Assumptions!B32)</f>
        <v>8887544568.813862</v>
      </c>
    </row>
    <row r="20" spans="1:2" x14ac:dyDescent="0.25">
      <c r="A20" t="s">
        <v>70</v>
      </c>
      <c r="B20" s="18">
        <f>Forecast!B17+B19</f>
        <v>17527384554.35221</v>
      </c>
    </row>
    <row r="21" spans="1:2" x14ac:dyDescent="0.25">
      <c r="A21" t="s">
        <v>71</v>
      </c>
      <c r="B21" s="18">
        <f>-Assumptions!B30</f>
        <v>-4918518000</v>
      </c>
    </row>
    <row r="22" spans="1:2" x14ac:dyDescent="0.25">
      <c r="A22" t="s">
        <v>72</v>
      </c>
      <c r="B22" s="18">
        <f>B20+B21</f>
        <v>12608866554.352211</v>
      </c>
    </row>
    <row r="23" spans="1:2" x14ac:dyDescent="0.25">
      <c r="A23" s="19" t="s">
        <v>73</v>
      </c>
      <c r="B23" s="25">
        <f>B22/Assumptions!B31</f>
        <v>112.780559520145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67.82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121.16813530927801</v>
      </c>
    </row>
    <row r="29" spans="1:2" x14ac:dyDescent="0.25">
      <c r="A29" s="19" t="s">
        <v>81</v>
      </c>
      <c r="B29" s="11">
        <f>B28/B26-1</f>
        <v>0.7866136141149813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0.060542</v>
      </c>
      <c r="B5" s="31">
        <v>176.07424419343278</v>
      </c>
      <c r="C5" s="31">
        <v>188.01728575820417</v>
      </c>
      <c r="D5" s="31">
        <v>203.54990937020673</v>
      </c>
      <c r="E5" s="31">
        <v>224.4350555935316</v>
      </c>
      <c r="F5" s="31">
        <v>253.81608983299543</v>
      </c>
    </row>
    <row r="6" spans="1:6" x14ac:dyDescent="0.25">
      <c r="A6" s="30">
        <v>0.070542</v>
      </c>
      <c r="B6" s="31">
        <v>139.0881463359147</v>
      </c>
      <c r="C6" s="31">
        <v>145.45434761167888</v>
      </c>
      <c r="D6" s="31">
        <v>153.38769817901775</v>
      </c>
      <c r="E6" s="31">
        <v>163.46802240213705</v>
      </c>
      <c r="F6" s="31">
        <v>176.60142024267924</v>
      </c>
    </row>
    <row r="7" spans="1:6" x14ac:dyDescent="0.25">
      <c r="A7" s="30">
        <v>0.080542</v>
      </c>
      <c r="B7" s="31">
        <v>113.32683323410635</v>
      </c>
      <c r="C7" s="31">
        <v>116.86324786057911</v>
      </c>
      <c r="D7" s="32">
        <v>121.16776904154688</v>
      </c>
      <c r="E7" s="31">
        <v>126.46835764752191</v>
      </c>
      <c r="F7" s="31">
        <v>133.09308472007254</v>
      </c>
    </row>
    <row r="8" spans="1:6" x14ac:dyDescent="0.25">
      <c r="A8" s="30">
        <v>0.090542</v>
      </c>
      <c r="B8" s="31">
        <v>94.33546115894268</v>
      </c>
      <c r="C8" s="31">
        <v>96.30654948703662</v>
      </c>
      <c r="D8" s="31">
        <v>98.68387712770529</v>
      </c>
      <c r="E8" s="31">
        <v>101.56809469851375</v>
      </c>
      <c r="F8" s="31">
        <v>105.09609588265833</v>
      </c>
    </row>
    <row r="9" spans="1:6" x14ac:dyDescent="0.25">
      <c r="A9" s="30">
        <v>0.100542</v>
      </c>
      <c r="B9" s="31">
        <v>79.7421420657128</v>
      </c>
      <c r="C9" s="31">
        <v>80.79527975140739</v>
      </c>
      <c r="D9" s="31">
        <v>82.07463247847171</v>
      </c>
      <c r="E9" s="31">
        <v>83.62830245014007</v>
      </c>
      <c r="F9" s="31">
        <v>85.51907015326141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15190638000</v>
      </c>
      <c r="C5" s="18">
        <v>16400492000</v>
      </c>
      <c r="D5" s="18">
        <v>17097330000</v>
      </c>
      <c r="E5" s="18">
        <v>22726418000</v>
      </c>
      <c r="F5" s="6" t="s">
        <v>91</v>
      </c>
    </row>
    <row r="6" spans="1:6" x14ac:dyDescent="0.25">
      <c r="A6" t="s">
        <v>51</v>
      </c>
      <c r="B6" s="18">
        <v>786276000</v>
      </c>
      <c r="C6" s="18">
        <v>1595249000</v>
      </c>
      <c r="D6" s="18">
        <v>2176319000</v>
      </c>
      <c r="E6" s="18">
        <v>3770206000</v>
      </c>
      <c r="F6" s="6" t="s">
        <v>92</v>
      </c>
    </row>
    <row r="7" spans="1:6" x14ac:dyDescent="0.25">
      <c r="A7" t="s">
        <v>93</v>
      </c>
      <c r="B7" s="18">
        <v>591432000</v>
      </c>
      <c r="C7" s="18">
        <v>561929000</v>
      </c>
      <c r="D7" s="18">
        <v>558275000</v>
      </c>
      <c r="E7" s="18">
        <v>497140000</v>
      </c>
      <c r="F7" s="6" t="s">
        <v>94</v>
      </c>
    </row>
    <row r="8" spans="1:6" x14ac:dyDescent="0.25">
      <c r="A8" t="s">
        <v>95</v>
      </c>
      <c r="B8" s="18">
        <v>362602000</v>
      </c>
      <c r="C8" s="18">
        <v>380569000</v>
      </c>
      <c r="D8" s="18">
        <v>476335000</v>
      </c>
      <c r="E8" s="18">
        <v>340152000</v>
      </c>
      <c r="F8" s="6" t="s">
        <v>96</v>
      </c>
    </row>
    <row r="9" spans="1:6" x14ac:dyDescent="0.25">
      <c r="A9" t="s">
        <v>97</v>
      </c>
      <c r="B9" s="18">
        <v>-125943000</v>
      </c>
      <c r="C9" s="18">
        <v>-166224000</v>
      </c>
      <c r="D9" s="18">
        <v>-263640000</v>
      </c>
      <c r="E9" s="18">
        <v>-344666000</v>
      </c>
      <c r="F9" s="6" t="s">
        <v>98</v>
      </c>
    </row>
    <row r="10" spans="1:6" x14ac:dyDescent="0.25">
      <c r="A10" t="s">
        <v>99</v>
      </c>
      <c r="B10" s="18">
        <v>5100271000</v>
      </c>
      <c r="C10" s="18">
        <v>4332825000</v>
      </c>
      <c r="D10" s="18">
        <v>3713358000</v>
      </c>
      <c r="E10" s="18">
        <v>3489418000</v>
      </c>
      <c r="F10" s="6" t="s">
        <v>100</v>
      </c>
    </row>
    <row r="11" spans="1:6" x14ac:dyDescent="0.25">
      <c r="A11" t="s">
        <v>101</v>
      </c>
      <c r="B11" s="18">
        <v>181753000</v>
      </c>
      <c r="C11" s="18">
        <v>153624000</v>
      </c>
      <c r="D11" s="18">
        <v>66156000</v>
      </c>
      <c r="E11" s="18">
        <v>80445000</v>
      </c>
      <c r="F11" s="6" t="s">
        <v>102</v>
      </c>
    </row>
    <row r="12" spans="1:6" x14ac:dyDescent="0.25">
      <c r="A12" t="s">
        <v>34</v>
      </c>
      <c r="B12" s="34">
        <v>111800000</v>
      </c>
      <c r="C12" s="34">
        <v>118980000</v>
      </c>
      <c r="D12" s="34">
        <v>128998000</v>
      </c>
      <c r="E12" s="34">
        <v>163481000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