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<sst xmlns="http://schemas.openxmlformats.org/spreadsheetml/2006/main" count="111" uniqueCount="99">
  <si>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Builders FirstSource, Inc. (BLDR)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</si>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</sst>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-0.12565732756059322</v>
      </c>
    </row>
    <row r="7" spans="1:2" x14ac:dyDescent="0.25">
      <c r="A7" t="s">
        <v>5</v>
      </c>
      <c r="B7" s="6">
        <v>0.11055355553063853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0.03193116442275438</v>
      </c>
    </row>
    <row r="10" spans="1:2" x14ac:dyDescent="0.25">
      <c r="A10" t="s">
        <v>8</v>
      </c>
      <c r="B10" s="6">
        <v>0.022475569115511112</v>
      </c>
    </row>
    <row r="11" spans="1:2" x14ac:dyDescent="0.25">
      <c r="A11" t="s">
        <v>9</v>
      </c>
      <c r="B11" s="6">
        <v>0.10409768451399921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8.109137820205733</v>
      </c>
    </row>
    <row r="14" spans="1:3" x14ac:dyDescent="0.25">
      <c r="A14" t="s">
        <v>12</v>
      </c>
      <c r="B14" s="6">
        <v>0.1873912174150528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1.27604</v>
      </c>
      <c r="C19" s="8" t="s">
        <v>19</v>
      </c>
    </row>
    <row r="20" spans="1:2" x14ac:dyDescent="0.25">
      <c r="A20" t="s">
        <v>20</v>
      </c>
      <c r="B20" s="10">
        <f>B17+B19*B18</f>
        <v>0.1201622</v>
      </c>
    </row>
    <row r="21" spans="1:3" x14ac:dyDescent="0.25">
      <c r="A21" t="s">
        <v>21</v>
      </c>
      <c r="B21" s="6">
        <v>0.058070860298676065</v>
      </c>
      <c r="C21" s="8" t="s">
        <v>22</v>
      </c>
    </row>
    <row r="22" spans="1:2" x14ac:dyDescent="0.25">
      <c r="A22" t="s">
        <v>23</v>
      </c>
      <c r="B22" s="11">
        <v>6253506048</v>
      </c>
    </row>
    <row r="23" spans="1:2" x14ac:dyDescent="0.25">
      <c r="A23" t="s">
        <v>24</v>
      </c>
      <c r="B23" s="11">
        <v>5100271000</v>
      </c>
    </row>
    <row r="24" spans="1:2" x14ac:dyDescent="0.25">
      <c r="A24" t="s">
        <v>25</v>
      </c>
      <c r="B24" s="10">
        <f>B22/(B22+B23)</f>
        <v>0.5507864054016784</v>
      </c>
    </row>
    <row r="25" spans="1:2" x14ac:dyDescent="0.25">
      <c r="A25" t="s">
        <v>26</v>
      </c>
      <c r="B25" s="10">
        <f>1-B24</f>
        <v>0.44921359459832155</v>
      </c>
    </row>
    <row r="26" spans="1:2" x14ac:dyDescent="0.25">
      <c r="A26" t="s">
        <v>27</v>
      </c>
      <c r="B26" s="12">
        <f>B24*B20+B25*B21*(1-B8)</f>
        <v>0.0867918199211439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15190638000</v>
      </c>
      <c r="C29" s="8" t="s">
        <v>30</v>
      </c>
    </row>
    <row r="30" spans="1:2" x14ac:dyDescent="0.25">
      <c r="A30" t="s">
        <v>31</v>
      </c>
      <c r="B30" s="11">
        <v>4918518000</v>
      </c>
    </row>
    <row r="31" spans="1:2" x14ac:dyDescent="0.25">
      <c r="A31" t="s">
        <v>32</v>
      </c>
      <c r="B31" s="13">
        <v>111800000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-0.12565732756059322</v>
      </c>
      <c r="C5" s="10">
        <f>Assumptions!B6</f>
        <v>-0.12565732756059322</v>
      </c>
      <c r="D5" s="10">
        <f>Assumptions!B6</f>
        <v>-0.12565732756059322</v>
      </c>
      <c r="E5" s="10">
        <f>Assumptions!B6</f>
        <v>-0.12565732756059322</v>
      </c>
      <c r="F5" s="10">
        <f>Assumptions!B6</f>
        <v>-0.12565732756059322</v>
      </c>
    </row>
    <row r="6" spans="1:6" x14ac:dyDescent="0.25">
      <c r="A6" t="s">
        <v>43</v>
      </c>
      <c r="B6" s="18">
        <f>Assumptions!B29*(1+B5)</f>
        <v>13281823024.979605</v>
      </c>
      <c r="C6" s="18">
        <f>B6*(1+C5)</f>
        <v>11612864638.527914</v>
      </c>
      <c r="D6" s="18">
        <f>C6*(1+D5)</f>
        <v>10153623102.727581</v>
      </c>
      <c r="E6" s="18">
        <f>D6*(1+E5)</f>
        <v>8877745958.581335</v>
      </c>
      <c r="F6" s="18">
        <f>E6*(1+F5)</f>
        <v>7762192126.664147</v>
      </c>
    </row>
    <row r="7" spans="1:6" x14ac:dyDescent="0.25">
      <c r="A7" t="s">
        <v>5</v>
      </c>
      <c r="B7" s="10">
        <f>Assumptions!B7</f>
        <v>0.11055355553063853</v>
      </c>
      <c r="C7" s="10">
        <f>Assumptions!B7</f>
        <v>0.11055355553063853</v>
      </c>
      <c r="D7" s="10">
        <f>Assumptions!B7</f>
        <v>0.11055355553063853</v>
      </c>
      <c r="E7" s="10">
        <f>Assumptions!B7</f>
        <v>0.11055355553063853</v>
      </c>
      <c r="F7" s="10">
        <f>Assumptions!B7</f>
        <v>0.11055355553063853</v>
      </c>
    </row>
    <row r="8" spans="1:6" x14ac:dyDescent="0.25">
      <c r="A8" t="s">
        <v>44</v>
      </c>
      <c r="B8" s="18">
        <f>B6*B7</f>
        <v>1468352759.3401961</v>
      </c>
      <c r="C8" s="18">
        <f>C6*C7</f>
        <v>1283843475.6852844</v>
      </c>
      <c r="D8" s="18">
        <f>D6*D7</f>
        <v>1122519135.5245678</v>
      </c>
      <c r="E8" s="18">
        <f>E6*E7</f>
        <v>981466380.8189235</v>
      </c>
      <c r="F8" s="18">
        <f>F6*F7</f>
        <v>858137938.31465</v>
      </c>
    </row>
    <row r="9" spans="1:6" x14ac:dyDescent="0.25">
      <c r="A9" t="s">
        <v>45</v>
      </c>
      <c r="B9" s="18">
        <f>B8*(1-Assumptions!B8)</f>
        <v>1159998679.878755</v>
      </c>
      <c r="C9" s="18">
        <f>C8*(1-Assumptions!B8)</f>
        <v>1014236345.7913747</v>
      </c>
      <c r="D9" s="18">
        <f>D8*(1-Assumptions!B8)</f>
        <v>886790117.0644087</v>
      </c>
      <c r="E9" s="18">
        <f>E8*(1-Assumptions!B8)</f>
        <v>775358440.8469496</v>
      </c>
      <c r="F9" s="18">
        <f>F8*(1-Assumptions!B8)</f>
        <v>677928971.2685735</v>
      </c>
    </row>
    <row r="10" spans="1:6" x14ac:dyDescent="0.25">
      <c r="A10" t="s">
        <v>46</v>
      </c>
      <c r="B10" s="18">
        <f>B6*Assumptions!B9</f>
        <v>424104074.8445487</v>
      </c>
      <c r="C10" s="18">
        <f>C6*Assumptions!B9</f>
        <v>370812290.1920249</v>
      </c>
      <c r="D10" s="18">
        <f>D6*Assumptions!B9</f>
        <v>324217008.7798719</v>
      </c>
      <c r="E10" s="18">
        <f>E6*Assumptions!B9</f>
        <v>283476765.9069038</v>
      </c>
      <c r="F10" s="18">
        <f>F6*Assumptions!B9</f>
        <v>247855833.07752237</v>
      </c>
    </row>
    <row r="11" spans="1:6" x14ac:dyDescent="0.25">
      <c r="A11" t="s">
        <v>47</v>
      </c>
      <c r="B11" s="18">
        <f>-B6*Assumptions!B10</f>
        <v>-298516531.377916</v>
      </c>
      <c r="C11" s="18">
        <f>-C6*Assumptions!B10</f>
        <v>-261005741.8123091</v>
      </c>
      <c r="D11" s="18">
        <f>-D6*Assumptions!B10</f>
        <v>-228208457.81820413</v>
      </c>
      <c r="E11" s="18">
        <f>-E6*Assumptions!B10</f>
        <v>-199532392.88204426</v>
      </c>
      <c r="F11" s="18">
        <f>-F6*Assumptions!B10</f>
        <v>-174459685.63071623</v>
      </c>
    </row>
    <row r="12" spans="1:6" x14ac:dyDescent="0.25">
      <c r="A12" t="s">
        <v>48</v>
      </c>
      <c r="B12" s="18">
        <f>-(B6-Assumptions!B29)*Assumptions!B11</f>
        <v>198703219.0652704</v>
      </c>
      <c r="C12" s="18">
        <f>-(C6-B6)*Assumptions!B11</f>
        <v>173734703.5798413</v>
      </c>
      <c r="D12" s="18">
        <f>-(D6-C6)*Assumptions!B11</f>
        <v>151903665.02346677</v>
      </c>
      <c r="E12" s="18">
        <f>-(E6-D6)*Assumptions!B11</f>
        <v>132815856.42995821</v>
      </c>
      <c r="F12" s="18">
        <f>-(F6-E6)*Assumptions!B11</f>
        <v>116126570.8532983</v>
      </c>
    </row>
    <row r="13" spans="1:6" x14ac:dyDescent="0.25">
      <c r="A13" s="19" t="s">
        <v>49</v>
      </c>
      <c r="B13" s="20">
        <f>B9+B10+B11+B12</f>
        <v>1484289442.4106584</v>
      </c>
      <c r="C13" s="20">
        <f>C9+C10+C11+C12</f>
        <v>1297777597.750932</v>
      </c>
      <c r="D13" s="20">
        <f>D9+D10+D11+D12</f>
        <v>1134702333.0495431</v>
      </c>
      <c r="E13" s="20">
        <f>E9+E10+E11+E12</f>
        <v>992118670.3017672</v>
      </c>
      <c r="F13" s="20">
        <f>F9+F10+F11+F12</f>
        <v>867451689.568678</v>
      </c>
    </row>
    <row r="14" spans="1:6" x14ac:dyDescent="0.25">
      <c r="A14" t="s">
        <v>50</v>
      </c>
      <c r="B14" s="21">
        <f>1/(1+Assumptions!$B$26)^(1-0.5*Assumptions!$B$32)</f>
        <v>0.9592389820817188</v>
      </c>
      <c r="C14" s="21">
        <f>1/(1+Assumptions!$B$26)^(2-0.5*Assumptions!$B$32)</f>
        <v>0.8826336051658171</v>
      </c>
      <c r="D14" s="21">
        <f>1/(1+Assumptions!$B$26)^(3-0.5*Assumptions!$B$32)</f>
        <v>0.8121459777180322</v>
      </c>
      <c r="E14" s="21">
        <f>1/(1+Assumptions!$B$26)^(4-0.5*Assumptions!$B$32)</f>
        <v>0.7472875327465756</v>
      </c>
      <c r="F14" s="21">
        <f>1/(1+Assumptions!$B$26)^(5-0.5*Assumptions!$B$32)</f>
        <v>0.687608720500673</v>
      </c>
    </row>
    <row r="15" spans="1:6" x14ac:dyDescent="0.25">
      <c r="A15" s="19" t="s">
        <v>51</v>
      </c>
      <c r="B15" s="20">
        <f>B13*B14</f>
        <v>1423788293.8526418</v>
      </c>
      <c r="C15" s="20">
        <f>C13*C14</f>
        <v>1145462119.8063388</v>
      </c>
      <c r="D15" s="20">
        <f>D13*D14</f>
        <v>921543935.6934534</v>
      </c>
      <c r="E15" s="20">
        <f>E13*E14</f>
        <v>741397913.3216208</v>
      </c>
      <c r="F15" s="20">
        <f>F13*F14</f>
        <v>596467346.3604656</v>
      </c>
    </row>
    <row r="17" spans="1:2" x14ac:dyDescent="0.25">
      <c r="A17" s="22" t="s">
        <v>52</v>
      </c>
      <c r="B17" s="23">
        <f>SUM(B15:F15)</f>
        <v>4828659609.03452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867451689.568678</v>
      </c>
    </row>
    <row r="5" spans="1:2" x14ac:dyDescent="0.25">
      <c r="A5" t="s">
        <v>56</v>
      </c>
      <c r="B5" s="18">
        <f>IF(Assumptions!$B$33=0,B4,B4-Forecast!F11-Forecast!F10-Forecast!F12)</f>
        <v>677928971.2685735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0.13341073474445445</v>
      </c>
    </row>
    <row r="7" spans="1:2" x14ac:dyDescent="0.25">
      <c r="A7" t="s">
        <v>58</v>
      </c>
      <c r="B7" s="18">
        <f>-MAX(Forecast!F9,0)*B6</f>
        <v>-90443002.16149254</v>
      </c>
    </row>
    <row r="8" spans="1:2" x14ac:dyDescent="0.25">
      <c r="A8" t="s">
        <v>59</v>
      </c>
      <c r="B8" s="18">
        <f>IF(OR(Assumptions!$B$33=0,Assumptions!B12&lt;=0),B5,MAX(B5+B7,0))</f>
        <v>587485969.1070809</v>
      </c>
    </row>
    <row r="9" spans="1:2" x14ac:dyDescent="0.25">
      <c r="A9" t="s">
        <v>60</v>
      </c>
      <c r="B9" s="18">
        <f>B8*(1+Assumptions!B12)/(Assumptions!B26-Assumptions!B12)</f>
        <v>9745191501.12791</v>
      </c>
    </row>
    <row r="10" spans="1:2" x14ac:dyDescent="0.25">
      <c r="A10" t="s">
        <v>61</v>
      </c>
      <c r="B10" s="18">
        <f>B9/(1+Assumptions!B26)^(5-0.5*Assumptions!B32)</f>
        <v>6700878659.124596</v>
      </c>
    </row>
    <row r="11" spans="1:2" x14ac:dyDescent="0.25">
      <c r="A11" t="s">
        <v>62</v>
      </c>
      <c r="B11" s="18">
        <f>Forecast!B17+B10</f>
        <v>11529538268.159115</v>
      </c>
    </row>
    <row r="12" spans="1:2" x14ac:dyDescent="0.25">
      <c r="A12" t="s">
        <v>63</v>
      </c>
      <c r="B12" s="18">
        <f>-Assumptions!B30</f>
        <v>-4918518000</v>
      </c>
    </row>
    <row r="13" spans="1:2" x14ac:dyDescent="0.25">
      <c r="A13" t="s">
        <v>64</v>
      </c>
      <c r="B13" s="18">
        <f>B11+B12</f>
        <v>6611020268.159115</v>
      </c>
    </row>
    <row r="14" spans="1:2" x14ac:dyDescent="0.25">
      <c r="A14" s="19" t="s">
        <v>65</v>
      </c>
      <c r="B14" s="24">
        <f>B13/Assumptions!B31</f>
        <v>59.13256053809584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1105993771.3921723</v>
      </c>
    </row>
    <row r="18" spans="1:2" x14ac:dyDescent="0.25">
      <c r="A18" t="s">
        <v>60</v>
      </c>
      <c r="B18" s="18">
        <f>B17*Assumptions!B13</f>
        <v>8968655920.508238</v>
      </c>
    </row>
    <row r="19" spans="1:2" x14ac:dyDescent="0.25">
      <c r="A19" t="s">
        <v>61</v>
      </c>
      <c r="B19" s="18">
        <f>B18/(1+Assumptions!B26)^(5-0.5*Assumptions!B32)</f>
        <v>6166926022.111455</v>
      </c>
    </row>
    <row r="20" spans="1:2" x14ac:dyDescent="0.25">
      <c r="A20" t="s">
        <v>62</v>
      </c>
      <c r="B20" s="18">
        <f>Forecast!B17+B19</f>
        <v>10995585631.145975</v>
      </c>
    </row>
    <row r="21" spans="1:2" x14ac:dyDescent="0.25">
      <c r="A21" t="s">
        <v>63</v>
      </c>
      <c r="B21" s="18">
        <f>-Assumptions!B30</f>
        <v>-4918518000</v>
      </c>
    </row>
    <row r="22" spans="1:2" x14ac:dyDescent="0.25">
      <c r="A22" t="s">
        <v>64</v>
      </c>
      <c r="B22" s="18">
        <f>B20+B21</f>
        <v>6077067631.145975</v>
      </c>
    </row>
    <row r="23" spans="1:2" x14ac:dyDescent="0.25">
      <c r="A23" s="19" t="s">
        <v>65</v>
      </c>
      <c r="B23" s="25">
        <f>B22/Assumptions!B31</f>
        <v>54.35659777411427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58.12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59.13256053809584</v>
      </c>
    </row>
    <row r="29" spans="1:2" x14ac:dyDescent="0.25">
      <c r="A29" s="19" t="s">
        <v>73</v>
      </c>
      <c r="B29" s="12">
        <f>B28/B26-1</f>
        <v>0.017421895011972444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0.066792</v>
      </c>
      <c r="B5" s="31">
        <v>82.63144629294062</v>
      </c>
      <c r="C5" s="31">
        <v>89.1732711498193</v>
      </c>
      <c r="D5" s="31">
        <v>97.25148462144534</v>
      </c>
      <c r="E5" s="31">
        <v>107.49246823698849</v>
      </c>
      <c r="F5" s="31">
        <v>120.91665330491485</v>
      </c>
    </row>
    <row r="6" spans="1:6" x14ac:dyDescent="0.25">
      <c r="A6" s="30">
        <v>0.076792</v>
      </c>
      <c r="B6" s="31">
        <v>65.7180599632027</v>
      </c>
      <c r="C6" s="31">
        <v>69.76984921772218</v>
      </c>
      <c r="D6" s="31">
        <v>74.58156524894595</v>
      </c>
      <c r="E6" s="31">
        <v>80.39681597383772</v>
      </c>
      <c r="F6" s="31">
        <v>87.57579043348241</v>
      </c>
    </row>
    <row r="7" spans="1:6" x14ac:dyDescent="0.25">
      <c r="A7" s="30">
        <v>0.086792</v>
      </c>
      <c r="B7" s="31">
        <v>53.426209378939475</v>
      </c>
      <c r="C7" s="31">
        <v>56.07401817178341</v>
      </c>
      <c r="D7" s="32">
        <v>59.13232633645262</v>
      </c>
      <c r="E7" s="31">
        <v>62.70955566787218</v>
      </c>
      <c r="F7" s="31">
        <v>66.95599612397478</v>
      </c>
    </row>
    <row r="8" spans="1:6" x14ac:dyDescent="0.25">
      <c r="A8" s="30">
        <v>0.096792</v>
      </c>
      <c r="B8" s="31">
        <v>44.06471074016356</v>
      </c>
      <c r="C8" s="31">
        <v>45.86045479511923</v>
      </c>
      <c r="D8" s="31">
        <v>47.89145976977034</v>
      </c>
      <c r="E8" s="31">
        <v>50.21056004241718</v>
      </c>
      <c r="F8" s="31">
        <v>52.88769070934941</v>
      </c>
    </row>
    <row r="9" spans="1:6" x14ac:dyDescent="0.25">
      <c r="A9" s="30">
        <v>0.106792</v>
      </c>
      <c r="B9" s="31">
        <v>36.67913091487668</v>
      </c>
      <c r="C9" s="31">
        <v>37.92918525602327</v>
      </c>
      <c r="D9" s="31">
        <v>39.31954280178302</v>
      </c>
      <c r="E9" s="31">
        <v>40.8776093765803</v>
      </c>
      <c r="F9" s="31">
        <v>42.63842558989196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15190638000</v>
      </c>
      <c r="C5" s="18">
        <v>16400492000</v>
      </c>
      <c r="D5" s="18">
        <v>17097330000</v>
      </c>
      <c r="E5" s="18">
        <v>22726418000</v>
      </c>
      <c r="F5" s="8" t="s">
        <v>84</v>
      </c>
    </row>
    <row r="6" spans="1:6" x14ac:dyDescent="0.25">
      <c r="A6" t="s">
        <v>44</v>
      </c>
      <c r="B6" s="18">
        <v>786276000</v>
      </c>
      <c r="C6" s="18">
        <v>1595249000</v>
      </c>
      <c r="D6" s="18">
        <v>2176319000</v>
      </c>
      <c r="E6" s="18">
        <v>3770206000</v>
      </c>
      <c r="F6" s="8" t="s">
        <v>85</v>
      </c>
    </row>
    <row r="7" spans="1:6" x14ac:dyDescent="0.25">
      <c r="A7" t="s">
        <v>86</v>
      </c>
      <c r="B7" s="18">
        <v>591432000</v>
      </c>
      <c r="C7" s="18">
        <v>561929000</v>
      </c>
      <c r="D7" s="18">
        <v>558275000</v>
      </c>
      <c r="E7" s="18">
        <v>497140000</v>
      </c>
      <c r="F7" s="8" t="s">
        <v>87</v>
      </c>
    </row>
    <row r="8" spans="1:6" x14ac:dyDescent="0.25">
      <c r="A8" t="s">
        <v>88</v>
      </c>
      <c r="B8" s="18">
        <v>362602000</v>
      </c>
      <c r="C8" s="18">
        <v>380569000</v>
      </c>
      <c r="D8" s="18">
        <v>476335000</v>
      </c>
      <c r="E8" s="18">
        <v>340152000</v>
      </c>
      <c r="F8" s="8" t="s">
        <v>89</v>
      </c>
    </row>
    <row r="9" spans="1:6" x14ac:dyDescent="0.25">
      <c r="A9" t="s">
        <v>90</v>
      </c>
      <c r="B9" s="18">
        <v>-125943000</v>
      </c>
      <c r="C9" s="18">
        <v>-166224000</v>
      </c>
      <c r="D9" s="18">
        <v>-263640000</v>
      </c>
      <c r="E9" s="18">
        <v>-344666000</v>
      </c>
      <c r="F9" s="8" t="s">
        <v>91</v>
      </c>
    </row>
    <row r="10" spans="1:6" x14ac:dyDescent="0.25">
      <c r="A10" t="s">
        <v>92</v>
      </c>
      <c r="B10" s="18">
        <v>5100271000</v>
      </c>
      <c r="C10" s="18">
        <v>4332825000</v>
      </c>
      <c r="D10" s="18">
        <v>3713358000</v>
      </c>
      <c r="E10" s="18">
        <v>3489418000</v>
      </c>
      <c r="F10" s="8" t="s">
        <v>93</v>
      </c>
    </row>
    <row r="11" spans="1:6" x14ac:dyDescent="0.25">
      <c r="A11" t="s">
        <v>94</v>
      </c>
      <c r="B11" s="18">
        <v>181753000</v>
      </c>
      <c r="C11" s="18">
        <v>153624000</v>
      </c>
      <c r="D11" s="18">
        <v>66156000</v>
      </c>
      <c r="E11" s="18">
        <v>80445000</v>
      </c>
      <c r="F11" s="8" t="s">
        <v>95</v>
      </c>
    </row>
    <row r="12" spans="1:6" x14ac:dyDescent="0.25">
      <c r="A12" t="s">
        <v>32</v>
      </c>
      <c r="B12" s="34">
        <v>111800000</v>
      </c>
      <c r="C12" s="34">
        <v>118980000</v>
      </c>
      <c r="D12" s="34">
        <v>128998000</v>
      </c>
      <c r="E12" s="34">
        <v>163481000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