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<sst xmlns="http://schemas.openxmlformats.org/spreadsheetml/2006/main" count="112" uniqueCount="100">
  <si>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BlackRock, Inc. (BLK)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</si>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</sst>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0.1065430569599104</v>
      </c>
    </row>
    <row r="7" spans="1:2" x14ac:dyDescent="0.25">
      <c r="A7" t="s">
        <v>5</v>
      </c>
      <c r="B7" s="6">
        <v>0.35331665849358973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0.029929351537295062</v>
      </c>
    </row>
    <row r="10" spans="1:2" x14ac:dyDescent="0.25">
      <c r="A10" t="s">
        <v>8</v>
      </c>
      <c r="B10" s="6">
        <v>0.019266214208873006</v>
      </c>
    </row>
    <row r="11" spans="1:2" x14ac:dyDescent="0.25">
      <c r="A11" t="s">
        <v>9</v>
      </c>
      <c r="B11" s="6">
        <v>-0.06907378335949764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19.319622885224128</v>
      </c>
    </row>
    <row r="14" spans="1:3" x14ac:dyDescent="0.25">
      <c r="A14" t="s">
        <v>12</v>
      </c>
      <c r="B14" s="6">
        <v>0.1143311378427882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1.28743</v>
      </c>
      <c r="C19" s="8" t="s">
        <v>19</v>
      </c>
    </row>
    <row r="20" spans="1:2" x14ac:dyDescent="0.25">
      <c r="A20" t="s">
        <v>20</v>
      </c>
      <c r="B20" s="10">
        <f>B17+B19*B18</f>
        <v>0.12078865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173813792768</v>
      </c>
    </row>
    <row r="23" spans="1:2" x14ac:dyDescent="0.25">
      <c r="A23" t="s">
        <v>24</v>
      </c>
      <c r="B23" s="11">
        <v>14996000000</v>
      </c>
    </row>
    <row r="24" spans="1:2" x14ac:dyDescent="0.25">
      <c r="A24" t="s">
        <v>25</v>
      </c>
      <c r="B24" s="10">
        <f>B22/(B22+B23)</f>
        <v>0.9205761534920684</v>
      </c>
    </row>
    <row r="25" spans="1:2" x14ac:dyDescent="0.25">
      <c r="A25" t="s">
        <v>26</v>
      </c>
      <c r="B25" s="10">
        <f>1-B24</f>
        <v>0.07942384650793155</v>
      </c>
    </row>
    <row r="26" spans="1:2" x14ac:dyDescent="0.25">
      <c r="A26" t="s">
        <v>27</v>
      </c>
      <c r="B26" s="12">
        <f>B24*B20+B25*B21*(1-B8)</f>
        <v>0.1143311378427882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24216000000</v>
      </c>
      <c r="C29" s="8" t="s">
        <v>30</v>
      </c>
    </row>
    <row r="30" spans="1:2" x14ac:dyDescent="0.25">
      <c r="A30" t="s">
        <v>31</v>
      </c>
      <c r="B30" s="11">
        <v>739000000</v>
      </c>
    </row>
    <row r="31" spans="1:2" x14ac:dyDescent="0.25">
      <c r="A31" t="s">
        <v>32</v>
      </c>
      <c r="B31" s="13">
        <v>160900000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0.1065430569599104</v>
      </c>
      <c r="C5" s="10">
        <f>Assumptions!B6</f>
        <v>0.1065430569599104</v>
      </c>
      <c r="D5" s="10">
        <f>Assumptions!B6</f>
        <v>0.1065430569599104</v>
      </c>
      <c r="E5" s="10">
        <f>Assumptions!B6</f>
        <v>0.1065430569599104</v>
      </c>
      <c r="F5" s="10">
        <f>Assumptions!B6</f>
        <v>0.1065430569599104</v>
      </c>
    </row>
    <row r="6" spans="1:6" x14ac:dyDescent="0.25">
      <c r="A6" t="s">
        <v>43</v>
      </c>
      <c r="B6" s="18">
        <f>Assumptions!B29*(1+B5)</f>
        <v>26796046667.34119</v>
      </c>
      <c r="C6" s="18">
        <f>B6*(1+C5)</f>
        <v>29650979393.72014</v>
      </c>
      <c r="D6" s="18">
        <f>C6*(1+D5)</f>
        <v>32810085380.182392</v>
      </c>
      <c r="E6" s="18">
        <f>D6*(1+E5)</f>
        <v>36305772175.70269</v>
      </c>
      <c r="F6" s="18">
        <f>E6*(1+F5)</f>
        <v>40173900128.59211</v>
      </c>
    </row>
    <row r="7" spans="1:6" x14ac:dyDescent="0.25">
      <c r="A7" t="s">
        <v>5</v>
      </c>
      <c r="B7" s="10">
        <f>Assumptions!B7</f>
        <v>0.35331665849358973</v>
      </c>
      <c r="C7" s="10">
        <f>Assumptions!B7</f>
        <v>0.35331665849358973</v>
      </c>
      <c r="D7" s="10">
        <f>Assumptions!B7</f>
        <v>0.35331665849358973</v>
      </c>
      <c r="E7" s="10">
        <f>Assumptions!B7</f>
        <v>0.35331665849358973</v>
      </c>
      <c r="F7" s="10">
        <f>Assumptions!B7</f>
        <v>0.35331665849358973</v>
      </c>
    </row>
    <row r="8" spans="1:6" x14ac:dyDescent="0.25">
      <c r="A8" t="s">
        <v>44</v>
      </c>
      <c r="B8" s="18">
        <f>B6*B7</f>
        <v>9467489669.34328</v>
      </c>
      <c r="C8" s="18">
        <f>C6*C7</f>
        <v>10476184960.451485</v>
      </c>
      <c r="D8" s="18">
        <f>D6*D7</f>
        <v>11592349731.415424</v>
      </c>
      <c r="E8" s="18">
        <f>E6*E7</f>
        <v>12827434109.148819</v>
      </c>
      <c r="F8" s="18">
        <f>F6*F7</f>
        <v>14194108152.08936</v>
      </c>
    </row>
    <row r="9" spans="1:6" x14ac:dyDescent="0.25">
      <c r="A9" t="s">
        <v>45</v>
      </c>
      <c r="B9" s="18">
        <f>B8*(1-Assumptions!B8)</f>
        <v>7479316838.781192</v>
      </c>
      <c r="C9" s="18">
        <f>C8*(1-Assumptions!B8)</f>
        <v>8276186118.756673</v>
      </c>
      <c r="D9" s="18">
        <f>D8*(1-Assumptions!B8)</f>
        <v>9157956287.818186</v>
      </c>
      <c r="E9" s="18">
        <f>E8*(1-Assumptions!B8)</f>
        <v>10133672946.227568</v>
      </c>
      <c r="F9" s="18">
        <f>F8*(1-Assumptions!B8)</f>
        <v>11213345440.150595</v>
      </c>
    </row>
    <row r="10" spans="1:6" x14ac:dyDescent="0.25">
      <c r="A10" t="s">
        <v>46</v>
      </c>
      <c r="B10" s="18">
        <f>B6*Assumptions!B9</f>
        <v>801988300.5166183</v>
      </c>
      <c r="C10" s="18">
        <f>C6*Assumptions!B9</f>
        <v>887434585.6997421</v>
      </c>
      <c r="D10" s="18">
        <f>D6*Assumptions!B9</f>
        <v>981984579.3121442</v>
      </c>
      <c r="E10" s="18">
        <f>E6*Assumptions!B9</f>
        <v>1086608218.2795515</v>
      </c>
      <c r="F10" s="18">
        <f>F6*Assumptions!B9</f>
        <v>1202378779.5728166</v>
      </c>
    </row>
    <row r="11" spans="1:6" x14ac:dyDescent="0.25">
      <c r="A11" t="s">
        <v>47</v>
      </c>
      <c r="B11" s="18">
        <f>-B6*Assumptions!B10</f>
        <v>-516258375.043953</v>
      </c>
      <c r="C11" s="18">
        <f>-C6*Assumptions!B10</f>
        <v>-571262120.5022917</v>
      </c>
      <c r="D11" s="18">
        <f>-D6*Assumptions!B10</f>
        <v>-632126133.1460065</v>
      </c>
      <c r="E11" s="18">
        <f>-E6*Assumptions!B10</f>
        <v>-699474783.7556294</v>
      </c>
      <c r="F11" s="18">
        <f>-F6*Assumptions!B10</f>
        <v>-773998965.4833264</v>
      </c>
    </row>
    <row r="12" spans="1:6" x14ac:dyDescent="0.25">
      <c r="A12" t="s">
        <v>48</v>
      </c>
      <c r="B12" s="18">
        <f>-(B6-Assumptions!B29)*Assumptions!B11</f>
        <v>178213584.55731925</v>
      </c>
      <c r="C12" s="18">
        <f>-(C6-B6)*Assumptions!B11</f>
        <v>197201004.64783943</v>
      </c>
      <c r="D12" s="18">
        <f>-(D6-C6)*Assumptions!B11</f>
        <v>218211402.5185858</v>
      </c>
      <c r="E12" s="18">
        <f>-(E6-D6)*Assumptions!B11</f>
        <v>241460312.4064256</v>
      </c>
      <c r="F12" s="18">
        <f>-(F6-E6)*Assumptions!B11</f>
        <v>267186232.22470087</v>
      </c>
    </row>
    <row r="13" spans="1:6" x14ac:dyDescent="0.25">
      <c r="A13" s="19" t="s">
        <v>49</v>
      </c>
      <c r="B13" s="20">
        <f>B9+B10+B11+B12</f>
        <v>7943260348.811176</v>
      </c>
      <c r="C13" s="20">
        <f>C9+C10+C11+C12</f>
        <v>8789559588.601963</v>
      </c>
      <c r="D13" s="20">
        <f>D9+D10+D11+D12</f>
        <v>9726026136.502909</v>
      </c>
      <c r="E13" s="20">
        <f>E9+E10+E11+E12</f>
        <v>10762266693.157915</v>
      </c>
      <c r="F13" s="20">
        <f>F9+F10+F11+F12</f>
        <v>11908911486.464787</v>
      </c>
    </row>
    <row r="14" spans="1:6" x14ac:dyDescent="0.25">
      <c r="A14" t="s">
        <v>50</v>
      </c>
      <c r="B14" s="21">
        <f>1/(1+Assumptions!$B$26)^(1-0.5*Assumptions!$B$32)</f>
        <v>0.9473116251764656</v>
      </c>
      <c r="C14" s="21">
        <f>1/(1+Assumptions!$B$26)^(2-0.5*Assumptions!$B$32)</f>
        <v>0.8501168037091268</v>
      </c>
      <c r="D14" s="21">
        <f>1/(1+Assumptions!$B$26)^(3-0.5*Assumptions!$B$32)</f>
        <v>0.7628942374838877</v>
      </c>
      <c r="E14" s="21">
        <f>1/(1+Assumptions!$B$26)^(4-0.5*Assumptions!$B$32)</f>
        <v>0.6846207662838532</v>
      </c>
      <c r="F14" s="21">
        <f>1/(1+Assumptions!$B$26)^(5-0.5*Assumptions!$B$32)</f>
        <v>0.6143782068310476</v>
      </c>
    </row>
    <row r="15" spans="1:6" x14ac:dyDescent="0.25">
      <c r="A15" s="19" t="s">
        <v>51</v>
      </c>
      <c r="B15" s="20">
        <f>B13*B14</f>
        <v>7524742870.232095</v>
      </c>
      <c r="C15" s="20">
        <f>C13*C14</f>
        <v>7472152303.473208</v>
      </c>
      <c r="D15" s="20">
        <f>D13*D14</f>
        <v>7419929293.155749</v>
      </c>
      <c r="E15" s="20">
        <f>E13*E14</f>
        <v>7368071270.420962</v>
      </c>
      <c r="F15" s="20">
        <f>F13*F14</f>
        <v>7316575684.363901</v>
      </c>
    </row>
    <row r="17" spans="1:2" x14ac:dyDescent="0.25">
      <c r="A17" s="22" t="s">
        <v>52</v>
      </c>
      <c r="B17" s="23">
        <f>SUM(B15:F15)</f>
        <v>37101471421.64592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11908911486.464787</v>
      </c>
    </row>
    <row r="5" spans="1:2" x14ac:dyDescent="0.25">
      <c r="A5" t="s">
        <v>56</v>
      </c>
      <c r="B5" s="18">
        <f>IF(Assumptions!$B$33=0,B4,B4-Forecast!F11-Forecast!F10-Forecast!F12)</f>
        <v>11213345440.150595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0.21866309101529646</v>
      </c>
    </row>
    <row r="7" spans="1:2" x14ac:dyDescent="0.25">
      <c r="A7" t="s">
        <v>58</v>
      </c>
      <c r="B7" s="18">
        <f>-MAX(Forecast!F9,0)*B6</f>
        <v>-2451944774.565609</v>
      </c>
    </row>
    <row r="8" spans="1:2" x14ac:dyDescent="0.25">
      <c r="A8" t="s">
        <v>59</v>
      </c>
      <c r="B8" s="18">
        <f>IF(OR(Assumptions!$B$33=0,Assumptions!B12&lt;=0),B5,MAX(B5+B7,0))</f>
        <v>8761400665.584986</v>
      </c>
    </row>
    <row r="9" spans="1:2" x14ac:dyDescent="0.25">
      <c r="A9" t="s">
        <v>60</v>
      </c>
      <c r="B9" s="18">
        <f>B8*(1+Assumptions!B12)/(Assumptions!B26-Assumptions!B12)</f>
        <v>100529735757.18994</v>
      </c>
    </row>
    <row r="10" spans="1:2" x14ac:dyDescent="0.25">
      <c r="A10" t="s">
        <v>61</v>
      </c>
      <c r="B10" s="18">
        <f>B9/(1+Assumptions!B26)^(5-0.5*Assumptions!B32)</f>
        <v>61763278787.7014</v>
      </c>
    </row>
    <row r="11" spans="1:2" x14ac:dyDescent="0.25">
      <c r="A11" t="s">
        <v>62</v>
      </c>
      <c r="B11" s="18">
        <f>Forecast!B17+B10</f>
        <v>98864750209.34732</v>
      </c>
    </row>
    <row r="12" spans="1:2" x14ac:dyDescent="0.25">
      <c r="A12" t="s">
        <v>63</v>
      </c>
      <c r="B12" s="18">
        <f>-Assumptions!B30</f>
        <v>-739000000</v>
      </c>
    </row>
    <row r="13" spans="1:2" x14ac:dyDescent="0.25">
      <c r="A13" t="s">
        <v>64</v>
      </c>
      <c r="B13" s="18">
        <f>B11+B12</f>
        <v>98125750209.34732</v>
      </c>
    </row>
    <row r="14" spans="1:2" x14ac:dyDescent="0.25">
      <c r="A14" s="19" t="s">
        <v>65</v>
      </c>
      <c r="B14" s="24">
        <f>B13/Assumptions!B31</f>
        <v>609.855501611854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15396486931.662176</v>
      </c>
    </row>
    <row r="18" spans="1:2" x14ac:dyDescent="0.25">
      <c r="A18" t="s">
        <v>60</v>
      </c>
      <c r="B18" s="18">
        <f>B17*Assumptions!B13</f>
        <v>297454321276.9948</v>
      </c>
    </row>
    <row r="19" spans="1:2" x14ac:dyDescent="0.25">
      <c r="A19" t="s">
        <v>61</v>
      </c>
      <c r="B19" s="18">
        <f>B18/(1+Assumptions!B26)^(5-0.5*Assumptions!B32)</f>
        <v>182749452520.3064</v>
      </c>
    </row>
    <row r="20" spans="1:2" x14ac:dyDescent="0.25">
      <c r="A20" t="s">
        <v>62</v>
      </c>
      <c r="B20" s="18">
        <f>Forecast!B17+B19</f>
        <v>219850923941.95233</v>
      </c>
    </row>
    <row r="21" spans="1:2" x14ac:dyDescent="0.25">
      <c r="A21" t="s">
        <v>63</v>
      </c>
      <c r="B21" s="18">
        <f>-Assumptions!B30</f>
        <v>-739000000</v>
      </c>
    </row>
    <row r="22" spans="1:2" x14ac:dyDescent="0.25">
      <c r="A22" t="s">
        <v>64</v>
      </c>
      <c r="B22" s="18">
        <f>B20+B21</f>
        <v>219111923941.95233</v>
      </c>
    </row>
    <row r="23" spans="1:2" x14ac:dyDescent="0.25">
      <c r="A23" s="19" t="s">
        <v>65</v>
      </c>
      <c r="B23" s="25">
        <f>B22/Assumptions!B31</f>
        <v>1361.7894589307168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1069.78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609.855501611854</v>
      </c>
    </row>
    <row r="29" spans="1:2" x14ac:dyDescent="0.25">
      <c r="A29" s="19" t="s">
        <v>73</v>
      </c>
      <c r="B29" s="12">
        <f>B28/B26-1</f>
        <v>-0.4299243754679897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0.094331</v>
      </c>
      <c r="B5" s="31">
        <v>744.2734475961723</v>
      </c>
      <c r="C5" s="31">
        <v>750.0691599895471</v>
      </c>
      <c r="D5" s="31">
        <v>756.3748109274816</v>
      </c>
      <c r="E5" s="31">
        <v>763.3093023105899</v>
      </c>
      <c r="F5" s="31">
        <v>771.0316169080419</v>
      </c>
    </row>
    <row r="6" spans="1:6" x14ac:dyDescent="0.25">
      <c r="A6" s="30">
        <v>0.104331</v>
      </c>
      <c r="B6" s="31">
        <v>665.0348155188062</v>
      </c>
      <c r="C6" s="31">
        <v>667.1717396606664</v>
      </c>
      <c r="D6" s="31">
        <v>669.3086638025263</v>
      </c>
      <c r="E6" s="31">
        <v>671.4455879443861</v>
      </c>
      <c r="F6" s="31">
        <v>673.5825120862461</v>
      </c>
    </row>
    <row r="7" spans="1:6" x14ac:dyDescent="0.25">
      <c r="A7" s="30">
        <v>0.114331</v>
      </c>
      <c r="B7" s="31">
        <v>606.1112543719274</v>
      </c>
      <c r="C7" s="31">
        <v>607.9837516853013</v>
      </c>
      <c r="D7" s="32">
        <v>609.8562489986753</v>
      </c>
      <c r="E7" s="31">
        <v>611.7287463120491</v>
      </c>
      <c r="F7" s="31">
        <v>613.6012436254231</v>
      </c>
    </row>
    <row r="8" spans="1:6" x14ac:dyDescent="0.25">
      <c r="A8" s="30">
        <v>0.124331</v>
      </c>
      <c r="B8" s="31">
        <v>556.7175367529807</v>
      </c>
      <c r="C8" s="31">
        <v>558.3715763475933</v>
      </c>
      <c r="D8" s="31">
        <v>560.0256159422061</v>
      </c>
      <c r="E8" s="31">
        <v>561.6796555368188</v>
      </c>
      <c r="F8" s="31">
        <v>563.3336951314313</v>
      </c>
    </row>
    <row r="9" spans="1:6" x14ac:dyDescent="0.25">
      <c r="A9" s="30">
        <v>0.134331</v>
      </c>
      <c r="B9" s="31">
        <v>514.7235456812537</v>
      </c>
      <c r="C9" s="31">
        <v>516.194651147253</v>
      </c>
      <c r="D9" s="31">
        <v>517.6657566132523</v>
      </c>
      <c r="E9" s="31">
        <v>519.1368620792517</v>
      </c>
      <c r="F9" s="31">
        <v>520.6079675452512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24216000000</v>
      </c>
      <c r="C5" s="18">
        <v>20407000000</v>
      </c>
      <c r="D5" s="18">
        <v>17859000000</v>
      </c>
      <c r="E5" s="18">
        <v>17873000000</v>
      </c>
      <c r="F5" s="8" t="s">
        <v>84</v>
      </c>
    </row>
    <row r="6" spans="1:6" x14ac:dyDescent="0.25">
      <c r="A6" t="s">
        <v>44</v>
      </c>
      <c r="B6" s="18">
        <v>7909000000</v>
      </c>
      <c r="C6" s="18">
        <v>7538000000</v>
      </c>
      <c r="D6" s="18">
        <v>6339000000</v>
      </c>
      <c r="E6" s="18">
        <v>6476000000</v>
      </c>
      <c r="F6" s="8" t="s">
        <v>85</v>
      </c>
    </row>
    <row r="7" spans="1:6" x14ac:dyDescent="0.25">
      <c r="A7" t="s">
        <v>86</v>
      </c>
      <c r="B7" s="18">
        <v>1126000000</v>
      </c>
      <c r="C7" s="18">
        <v>529000000</v>
      </c>
      <c r="D7" s="18">
        <v>427000000</v>
      </c>
      <c r="E7" s="18">
        <v>418000000</v>
      </c>
      <c r="F7" s="8" t="s">
        <v>87</v>
      </c>
    </row>
    <row r="8" spans="1:6" x14ac:dyDescent="0.25">
      <c r="A8" t="s">
        <v>88</v>
      </c>
      <c r="B8" s="18">
        <v>375000000</v>
      </c>
      <c r="C8" s="18">
        <v>255000000</v>
      </c>
      <c r="D8" s="18">
        <v>344000000</v>
      </c>
      <c r="E8" s="18">
        <v>533000000</v>
      </c>
      <c r="F8" s="8" t="s">
        <v>89</v>
      </c>
    </row>
    <row r="9" spans="1:6" x14ac:dyDescent="0.25">
      <c r="A9" t="s">
        <v>90</v>
      </c>
      <c r="B9" s="18">
        <v>189000000</v>
      </c>
      <c r="C9" s="18">
        <v>-176000000</v>
      </c>
      <c r="D9" s="18">
        <v>346000000</v>
      </c>
      <c r="E9" s="18">
        <v>897000000</v>
      </c>
      <c r="F9" s="8" t="s">
        <v>91</v>
      </c>
    </row>
    <row r="10" spans="1:6" x14ac:dyDescent="0.25">
      <c r="A10" t="s">
        <v>92</v>
      </c>
      <c r="B10" s="18">
        <v>14996000000</v>
      </c>
      <c r="C10" s="18">
        <v>14222000000</v>
      </c>
      <c r="D10" s="18">
        <v>9702000000</v>
      </c>
      <c r="E10" s="18">
        <v>8489000000</v>
      </c>
      <c r="F10" s="8" t="s">
        <v>93</v>
      </c>
    </row>
    <row r="11" spans="1:6" x14ac:dyDescent="0.25">
      <c r="A11" t="s">
        <v>94</v>
      </c>
      <c r="B11" s="18">
        <v>14257000000</v>
      </c>
      <c r="C11" s="18">
        <v>14513000000</v>
      </c>
      <c r="D11" s="18">
        <v>10607000000</v>
      </c>
      <c r="E11" s="18">
        <v>8747000000</v>
      </c>
      <c r="F11" s="8" t="s">
        <v>95</v>
      </c>
    </row>
    <row r="12" spans="1:6" x14ac:dyDescent="0.25">
      <c r="A12" t="s">
        <v>32</v>
      </c>
      <c r="B12" s="34">
        <v>160900000</v>
      </c>
      <c r="C12" s="34">
        <v>151600000</v>
      </c>
      <c r="D12" s="34">
        <v>150700000</v>
      </c>
      <c r="E12" s="34">
        <v>152440471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2026-09-19T00:07:53Z</dcterms:modified>
</cp:coreProperties>
</file>