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<sst xmlns="http://schemas.openxmlformats.org/spreadsheetml/2006/main" count="117" uniqueCount="104">
  <si>
    <t>British Land Company PLC (BLND.L)</t>
  </si>
  <si>
    <t>DCF Studio - Base case</t>
  </si>
  <si>
    <t>Blue figures on a cream fill are inputs. Every other figure is a formula - change an input and the model reprices. Currency figures are GBP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</si>
  <si>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</si>
  <si>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</si>
  <si>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</si>
  <si>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</si>
  <si>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</si>
  <si>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</si>
  <si>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</si>
  <si>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</si>
  <si>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</si>
  <si>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</si>
  <si>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</si>
  <si>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</si>
  <si>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</si>
  <si>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GBP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</si>
  <si>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</si>
  <si>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</si>
  <si>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</si>
  <si>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</si>
  <si>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</si>
  <si>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</si>
  <si>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(GBP m)</t>
  </si>
  <si>
    <t>Total debt (GBP m)</t>
  </si>
  <si>
    <t>Equity weight</t>
  </si>
  <si>
    <t>Debt weight</t>
  </si>
  <si>
    <t>WACC</t>
  </si>
  <si>
    <t>Base year</t>
  </si>
  <si>
    <t>Revenue, last reported year (GBP m)</t>
  </si>
  <si>
    <t>Fiscal year ended 2026-03-31</t>
  </si>
  <si>
    <t>Net debt (GBP m)</t>
  </si>
  <si>
    <t>Diluted shares</t>
  </si>
  <si>
    <t>Mid-year discounting (1 = yes, 0 = no)</t>
  </si>
  <si>
    <t>Terminal year on a steady-state footing (1 = yes, 0 = no)</t>
  </si>
  <si>
    <t>Forecast cashflows (GBP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</si>
  <si>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</si>
  <si>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</si>
  <si>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</si>
  <si>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</si>
  <si>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</si>
  <si>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</si>
  <si>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</si>
  <si>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</si>
  <si>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</si>
  <si>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</si>
  <si>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</si>
  <si>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</si>
  <si>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</si>
  <si>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</si>
  <si>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</si>
  <si>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</si>
  <si>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</si>
  <si>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(GBP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</si>
  <si>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</si>
  <si>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</si>
  <si>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</si>
  <si>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</si>
  <si>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</si>
  <si>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</si>
  <si>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</si>
  <si>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</si>
  <si>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</si>
  <si>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</si>
  <si>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</si>
  <si>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</si>
  <si>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</si>
  <si>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</si>
  <si>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</si>
  <si>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(GBp)</t>
  </si>
  <si>
    <t>Conversion, GBP to GBp</t>
  </si>
  <si>
    <t>then x100, because GBp is a sub-unit of GBP</t>
  </si>
  <si>
    <t>Value per share (GBp)</t>
  </si>
  <si>
    <t>Implied upside</t>
  </si>
  <si>
    <t>Value per share (GBP)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</si>
  <si>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</si>
  <si>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(GBP m, except shares)</t>
  </si>
  <si>
    <t>What the model was built from. "derived" means the figure was not reported and was computed - the note says how.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</si>
  <si>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</si>
  <si>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</si>
  <si>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</si>
  <si>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</si>
  <si>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</si>
  <si>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</si>
  <si>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</si>
  <si>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operatingIncome</t>
  </si>
  <si>
    <t>Depreciation &amp; amortisation</t>
  </si>
  <si>
    <t>derived</t>
  </si>
  <si>
    <t>Capital expenditure</t>
  </si>
  <si>
    <t>capitalExpenditure</t>
  </si>
  <si>
    <t>Change in working 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</si>
  <si>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</si>
  <si>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</si>
  <si>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</si>
  <si>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</si>
  <si>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</si>
  <si>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</si>
  <si>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model values the shares at 6.3% of the market price. A gap that size is a modelling failure rather than a view - most often an unusable beta, a currency or units mismatch, or a cashflow base that does not represent the business. Read the figures below as diagnostics, not as a call.</t>
  </si>
  <si>
    <t>Adjusted: Some line items were not reported and have been derived. Each one is labelled in the workings below.</t>
  </si>
  <si>
    <t>Adjusted: Free cashflow is negative in at least one forecast year, so terminal value carries most of the valuation.</t>
  </si>
  <si>
    <t>Adjusted: Capital expenditure runs at 43.9% of revenue against depreciation of 0.0%.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</si>
  <si>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GBP assumption - no free live source available for this market.</t>
  </si>
  <si>
    <t>Current EV/EBITDA of 23.4x sits outside a defensible 3-20x band, so the exit multiple is capped at 20.0x. A multiple that far out usually means EBITDA is the wrong denominator for this business.</t>
  </si>
  <si>
    <t>Data: Yahoo Finance. Risk-free rate: GBP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</si>
</sst>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0.07756084546811892</v>
      </c>
    </row>
    <row r="7" spans="1:2" x14ac:dyDescent="0.25">
      <c r="A7" t="s">
        <v>5</v>
      </c>
      <c r="B7" s="6">
        <v>0.5694372635044845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</v>
      </c>
    </row>
    <row r="10" spans="1:2" x14ac:dyDescent="0.25">
      <c r="A10" t="s">
        <v>8</v>
      </c>
      <c r="B10" s="6">
        <v>0.438868327752718</v>
      </c>
    </row>
    <row r="11" spans="1:2" x14ac:dyDescent="0.25">
      <c r="A11" t="s">
        <v>9</v>
      </c>
      <c r="B11" s="6">
        <v>-0.07246376811594203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0.07506153298363898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1.1185900000000002</v>
      </c>
      <c r="C19" s="8" t="s">
        <v>19</v>
      </c>
    </row>
    <row r="20" spans="1:2" x14ac:dyDescent="0.25">
      <c r="A20" t="s">
        <v>20</v>
      </c>
      <c r="B20" s="10">
        <f>B17+B19*B18</f>
        <v>0.10652245000000002</v>
      </c>
    </row>
    <row r="21" spans="1:3" x14ac:dyDescent="0.25">
      <c r="A21" t="s">
        <v>21</v>
      </c>
      <c r="B21" s="6">
        <v>0.045</v>
      </c>
      <c r="C21" s="8" t="s">
        <v>22</v>
      </c>
    </row>
    <row r="22" spans="1:2" x14ac:dyDescent="0.25">
      <c r="A22" t="s">
        <v>23</v>
      </c>
      <c r="B22" s="11">
        <v>4077195520</v>
      </c>
    </row>
    <row r="23" spans="1:2" x14ac:dyDescent="0.25">
      <c r="A23" t="s">
        <v>24</v>
      </c>
      <c r="B23" s="11">
        <v>3105000000</v>
      </c>
    </row>
    <row r="24" spans="1:2" x14ac:dyDescent="0.25">
      <c r="A24" t="s">
        <v>25</v>
      </c>
      <c r="B24" s="10">
        <f>B22/(B22+B23)</f>
        <v>0.5676809422197406</v>
      </c>
    </row>
    <row r="25" spans="1:2" x14ac:dyDescent="0.25">
      <c r="A25" t="s">
        <v>26</v>
      </c>
      <c r="B25" s="10">
        <f>1-B24</f>
        <v>0.43231905778025936</v>
      </c>
    </row>
    <row r="26" spans="1:2" x14ac:dyDescent="0.25">
      <c r="A26" t="s">
        <v>27</v>
      </c>
      <c r="B26" s="12">
        <f>B24*B20+B25*B21*(1-B8)</f>
        <v>0.07506153298363898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523000000</v>
      </c>
      <c r="C29" s="8" t="s">
        <v>30</v>
      </c>
    </row>
    <row r="30" spans="1:2" x14ac:dyDescent="0.25">
      <c r="A30" t="s">
        <v>31</v>
      </c>
      <c r="B30" s="11">
        <v>2929000000</v>
      </c>
    </row>
    <row r="31" spans="1:2" x14ac:dyDescent="0.25">
      <c r="A31" t="s">
        <v>32</v>
      </c>
      <c r="B31" s="13">
        <v>1002000000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0.07756084546811892</v>
      </c>
      <c r="C5" s="10">
        <f>Assumptions!B6</f>
        <v>0.07756084546811892</v>
      </c>
      <c r="D5" s="10">
        <f>Assumptions!B6</f>
        <v>0.07756084546811892</v>
      </c>
      <c r="E5" s="10">
        <f>Assumptions!B6</f>
        <v>0.07756084546811892</v>
      </c>
      <c r="F5" s="10">
        <f>Assumptions!B6</f>
        <v>0.07756084546811892</v>
      </c>
    </row>
    <row r="6" spans="1:6" x14ac:dyDescent="0.25">
      <c r="A6" t="s">
        <v>43</v>
      </c>
      <c r="B6" s="18">
        <f>Assumptions!B29*(1+B5)</f>
        <v>563564322.1798261</v>
      </c>
      <c r="C6" s="18">
        <f>B6*(1+C5)</f>
        <v>607274847.4837608</v>
      </c>
      <c r="D6" s="18">
        <f>C6*(1+D5)</f>
        <v>654375598.0861243</v>
      </c>
      <c r="E6" s="18">
        <f>D6*(1+E5)</f>
        <v>705129522.72739</v>
      </c>
      <c r="F6" s="18">
        <f>E6*(1+F5)</f>
        <v>759819964.6746576</v>
      </c>
    </row>
    <row r="7" spans="1:6" x14ac:dyDescent="0.25">
      <c r="A7" t="s">
        <v>5</v>
      </c>
      <c r="B7" s="10">
        <f>Assumptions!B7</f>
        <v>0.5694372635044845</v>
      </c>
      <c r="C7" s="10">
        <f>Assumptions!B7</f>
        <v>0.5694372635044845</v>
      </c>
      <c r="D7" s="10">
        <f>Assumptions!B7</f>
        <v>0.5694372635044845</v>
      </c>
      <c r="E7" s="10">
        <f>Assumptions!B7</f>
        <v>0.5694372635044845</v>
      </c>
      <c r="F7" s="10">
        <f>Assumptions!B7</f>
        <v>0.5694372635044845</v>
      </c>
    </row>
    <row r="8" spans="1:6" x14ac:dyDescent="0.25">
      <c r="A8" t="s">
        <v>44</v>
      </c>
      <c r="B8" s="18">
        <f>B6*B7</f>
        <v>320914525.4308399</v>
      </c>
      <c r="C8" s="18">
        <f>C6*C7</f>
        <v>345804927.34625596</v>
      </c>
      <c r="D8" s="18">
        <f>D6*D7</f>
        <v>372625849.878273</v>
      </c>
      <c r="E8" s="18">
        <f>E6*E7</f>
        <v>401527025.83810824</v>
      </c>
      <c r="F8" s="18">
        <f>F6*F7</f>
        <v>432669801.44041115</v>
      </c>
    </row>
    <row r="9" spans="1:6" x14ac:dyDescent="0.25">
      <c r="A9" t="s">
        <v>45</v>
      </c>
      <c r="B9" s="18">
        <f>B8*(1-Assumptions!B8)</f>
        <v>240685894.07312992</v>
      </c>
      <c r="C9" s="18">
        <f>C8*(1-Assumptions!B8)</f>
        <v>259353695.50969195</v>
      </c>
      <c r="D9" s="18">
        <f>D8*(1-Assumptions!B8)</f>
        <v>279469387.40870476</v>
      </c>
      <c r="E9" s="18">
        <f>E8*(1-Assumptions!B8)</f>
        <v>301145269.37858117</v>
      </c>
      <c r="F9" s="18">
        <f>F8*(1-Assumptions!B8)</f>
        <v>324502351.0803084</v>
      </c>
    </row>
    <row r="10" spans="1:6" x14ac:dyDescent="0.25">
      <c r="A10" t="s">
        <v>46</v>
      </c>
      <c r="B10" s="18">
        <f>B6*Assumptions!B9</f>
        <v>0</v>
      </c>
      <c r="C10" s="18">
        <f>C6*Assumptions!B9</f>
        <v>0</v>
      </c>
      <c r="D10" s="18">
        <f>D6*Assumptions!B9</f>
        <v>0</v>
      </c>
      <c r="E10" s="18">
        <f>E6*Assumptions!B9</f>
        <v>0</v>
      </c>
      <c r="F10" s="18">
        <f>F6*Assumptions!B9</f>
        <v>0</v>
      </c>
    </row>
    <row r="11" spans="1:6" x14ac:dyDescent="0.25">
      <c r="A11" t="s">
        <v>47</v>
      </c>
      <c r="B11" s="18">
        <f>-B6*Assumptions!B10</f>
        <v>-247330531.6561543</v>
      </c>
      <c r="C11" s="18">
        <f>-C6*Assumptions!B10</f>
        <v>-266513696.80148497</v>
      </c>
      <c r="D11" s="18">
        <f>-D6*Assumptions!B10</f>
        <v>-287184724.45424205</v>
      </c>
      <c r="E11" s="18">
        <f>-E6*Assumptions!B10</f>
        <v>-309459014.4884418</v>
      </c>
      <c r="F11" s="18">
        <f>-F6*Assumptions!B10</f>
        <v>-333460917.28989625</v>
      </c>
    </row>
    <row r="12" spans="1:6" x14ac:dyDescent="0.25">
      <c r="A12" t="s">
        <v>48</v>
      </c>
      <c r="B12" s="18">
        <f>-(B6-Assumptions!B29)*Assumptions!B11</f>
        <v>2939443.6362192854</v>
      </c>
      <c r="C12" s="18">
        <f>-(C6-B6)*Assumptions!B11</f>
        <v>3167429.3698503403</v>
      </c>
      <c r="D12" s="18">
        <f>-(D6-C6)*Assumptions!B11</f>
        <v>3413097.8697364833</v>
      </c>
      <c r="E12" s="18">
        <f>-(E6-D6)*Assumptions!B11</f>
        <v>3677820.6261786777</v>
      </c>
      <c r="F12" s="18">
        <f>-(F6-E6)*Assumptions!B11</f>
        <v>3963075.5034251837</v>
      </c>
    </row>
    <row r="13" spans="1:6" x14ac:dyDescent="0.25">
      <c r="A13" s="19" t="s">
        <v>49</v>
      </c>
      <c r="B13" s="20">
        <f>B9+B10+B11+B12</f>
        <v>-3705193.946805097</v>
      </c>
      <c r="C13" s="20">
        <f>C9+C10+C11+C12</f>
        <v>-3992571.9219426783</v>
      </c>
      <c r="D13" s="20">
        <f>D9+D10+D11+D12</f>
        <v>-4302239.17580081</v>
      </c>
      <c r="E13" s="20">
        <f>E9+E10+E11+E12</f>
        <v>-4635924.4836819805</v>
      </c>
      <c r="F13" s="20">
        <f>F9+F10+F11+F12</f>
        <v>-4995490.706162688</v>
      </c>
    </row>
    <row r="14" spans="1:6" x14ac:dyDescent="0.25">
      <c r="A14" t="s">
        <v>50</v>
      </c>
      <c r="B14" s="21">
        <f>1/(1+Assumptions!$B$26)^(1-0.5*Assumptions!$B$32)</f>
        <v>0.9644580419539871</v>
      </c>
      <c r="C14" s="21">
        <f>1/(1+Assumptions!$B$26)^(2-0.5*Assumptions!$B$32)</f>
        <v>0.897118920511748</v>
      </c>
      <c r="D14" s="21">
        <f>1/(1+Assumptions!$B$26)^(3-0.5*Assumptions!$B$32)</f>
        <v>0.8344814626767981</v>
      </c>
      <c r="E14" s="21">
        <f>1/(1+Assumptions!$B$26)^(4-0.5*Assumptions!$B$32)</f>
        <v>0.7762173950739784</v>
      </c>
      <c r="F14" s="21">
        <f>1/(1+Assumptions!$B$26)^(5-0.5*Assumptions!$B$32)</f>
        <v>0.7220213646001519</v>
      </c>
    </row>
    <row r="15" spans="1:6" x14ac:dyDescent="0.25">
      <c r="A15" s="19" t="s">
        <v>51</v>
      </c>
      <c r="B15" s="20">
        <f>B13*B14</f>
        <v>-3573504.0989954094</v>
      </c>
      <c r="C15" s="20">
        <f>C13*C14</f>
        <v>-3581811.8126787306</v>
      </c>
      <c r="D15" s="20">
        <f>D13*D14</f>
        <v>-3590138.840207682</v>
      </c>
      <c r="E15" s="20">
        <f>E13*E14</f>
        <v>-3598485.226483305</v>
      </c>
      <c r="F15" s="20">
        <f>F13*F14</f>
        <v>-3606851.0165109606</v>
      </c>
    </row>
    <row r="17" spans="1:2" x14ac:dyDescent="0.25">
      <c r="A17" s="22" t="s">
        <v>52</v>
      </c>
      <c r="B17" s="23">
        <f>SUM(B15:F15)</f>
        <v>-17950790.994876087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-4995490.706162688</v>
      </c>
    </row>
    <row r="5" spans="1:2" x14ac:dyDescent="0.25">
      <c r="A5" t="s">
        <v>56</v>
      </c>
      <c r="B5" s="18">
        <f>IF(Assumptions!$B$33=0,B4,B4-Forecast!F11-Forecast!F10-Forecast!F12)</f>
        <v>324502351.0803084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0.3330600775959266</v>
      </c>
    </row>
    <row r="7" spans="1:2" x14ac:dyDescent="0.25">
      <c r="A7" t="s">
        <v>58</v>
      </c>
      <c r="B7" s="18">
        <f>-MAX(Forecast!F9,0)*B6</f>
        <v>-108078778.23086812</v>
      </c>
    </row>
    <row r="8" spans="1:2" x14ac:dyDescent="0.25">
      <c r="A8" t="s">
        <v>59</v>
      </c>
      <c r="B8" s="18">
        <f>IF(OR(Assumptions!$B$33=0,Assumptions!B12&lt;=0),B5,MAX(B5+B7,0))</f>
        <v>216423572.84944028</v>
      </c>
    </row>
    <row r="9" spans="1:2" x14ac:dyDescent="0.25">
      <c r="A9" t="s">
        <v>60</v>
      </c>
      <c r="B9" s="18">
        <f>B8*(1+Assumptions!B12)/(Assumptions!B26-Assumptions!B12)</f>
        <v>4431229907.465593</v>
      </c>
    </row>
    <row r="10" spans="1:2" x14ac:dyDescent="0.25">
      <c r="A10" t="s">
        <v>61</v>
      </c>
      <c r="B10" s="18">
        <f>B9/(1+Assumptions!B26)^(5-0.5*Assumptions!B32)</f>
        <v>3199442664.6453123</v>
      </c>
    </row>
    <row r="11" spans="1:2" x14ac:dyDescent="0.25">
      <c r="A11" t="s">
        <v>62</v>
      </c>
      <c r="B11" s="18">
        <f>Forecast!B17+B10</f>
        <v>3181491873.6504364</v>
      </c>
    </row>
    <row r="12" spans="1:2" x14ac:dyDescent="0.25">
      <c r="A12" t="s">
        <v>63</v>
      </c>
      <c r="B12" s="18">
        <f>-Assumptions!B30</f>
        <v>-2929000000</v>
      </c>
    </row>
    <row r="13" spans="1:2" x14ac:dyDescent="0.25">
      <c r="A13" t="s">
        <v>64</v>
      </c>
      <c r="B13" s="18">
        <f>B11+B12</f>
        <v>252491873.6504364</v>
      </c>
    </row>
    <row r="14" spans="1:2" x14ac:dyDescent="0.25">
      <c r="A14" s="19" t="s">
        <v>65</v>
      </c>
      <c r="B14" s="24">
        <f>B13/Assumptions!B31</f>
        <v>0.25198789785472697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432669801.44041115</v>
      </c>
    </row>
    <row r="18" spans="1:2" x14ac:dyDescent="0.25">
      <c r="A18" t="s">
        <v>60</v>
      </c>
      <c r="B18" s="18">
        <f>B17*Assumptions!B13</f>
        <v>8653396028.808224</v>
      </c>
    </row>
    <row r="19" spans="1:2" x14ac:dyDescent="0.25">
      <c r="A19" t="s">
        <v>61</v>
      </c>
      <c r="B19" s="18">
        <f>B18/(1+Assumptions!B26)^(5-0.5*Assumptions!B32)</f>
        <v>6247936809.145649</v>
      </c>
    </row>
    <row r="20" spans="1:2" x14ac:dyDescent="0.25">
      <c r="A20" t="s">
        <v>62</v>
      </c>
      <c r="B20" s="18">
        <f>Forecast!B17+B19</f>
        <v>6229986018.150773</v>
      </c>
    </row>
    <row r="21" spans="1:2" x14ac:dyDescent="0.25">
      <c r="A21" t="s">
        <v>63</v>
      </c>
      <c r="B21" s="18">
        <f>-Assumptions!B30</f>
        <v>-2929000000</v>
      </c>
    </row>
    <row r="22" spans="1:2" x14ac:dyDescent="0.25">
      <c r="A22" t="s">
        <v>64</v>
      </c>
      <c r="B22" s="18">
        <f>B20+B21</f>
        <v>3300986018.150773</v>
      </c>
    </row>
    <row r="23" spans="1:2" x14ac:dyDescent="0.25">
      <c r="A23" s="19" t="s">
        <v>65</v>
      </c>
      <c r="B23" s="25">
        <f>B22/Assumptions!B31</f>
        <v>3.2943972237033665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397.8</v>
      </c>
    </row>
    <row r="27" spans="1:3" x14ac:dyDescent="0.25">
      <c r="A27" t="s">
        <v>70</v>
      </c>
      <c r="B27" s="27">
        <v>100</v>
      </c>
      <c r="C27" s="8" t="s">
        <v>71</v>
      </c>
    </row>
    <row r="28" spans="1:2" x14ac:dyDescent="0.25">
      <c r="A28" t="s">
        <v>72</v>
      </c>
      <c r="B28" s="28">
        <f>B14*B27</f>
        <v>25.198789785472698</v>
      </c>
    </row>
    <row r="29" spans="1:2" x14ac:dyDescent="0.25">
      <c r="A29" s="19" t="s">
        <v>73</v>
      </c>
      <c r="B29" s="12">
        <f>B28/B26-1</f>
        <v>-0.9366546259792039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0.055062</v>
      </c>
      <c r="B5" s="31">
        <v>1.748498598130092</v>
      </c>
      <c r="C5" s="31">
        <v>1.7716041971432976</v>
      </c>
      <c r="D5" s="31">
        <v>1.7947097961565026</v>
      </c>
      <c r="E5" s="31">
        <v>1.8178153951697082</v>
      </c>
      <c r="F5" s="31">
        <v>1.840920994182914</v>
      </c>
    </row>
    <row r="6" spans="1:6" x14ac:dyDescent="0.25">
      <c r="A6" s="30">
        <v>0.065062</v>
      </c>
      <c r="B6" s="31">
        <v>0.8630419840708007</v>
      </c>
      <c r="C6" s="31">
        <v>0.8817835431623431</v>
      </c>
      <c r="D6" s="31">
        <v>0.9005251022538844</v>
      </c>
      <c r="E6" s="31">
        <v>0.9192666613454262</v>
      </c>
      <c r="F6" s="31">
        <v>0.9380082204369675</v>
      </c>
    </row>
    <row r="7" spans="1:6" x14ac:dyDescent="0.25">
      <c r="A7" s="30">
        <v>0.075062</v>
      </c>
      <c r="B7" s="31">
        <v>0.22081029258503648</v>
      </c>
      <c r="C7" s="31">
        <v>0.23638605084503958</v>
      </c>
      <c r="D7" s="32">
        <v>0.2519618091050403</v>
      </c>
      <c r="E7" s="31">
        <v>0.2675375673650429</v>
      </c>
      <c r="F7" s="31">
        <v>0.28311332562504415</v>
      </c>
    </row>
    <row r="8" spans="1:6" x14ac:dyDescent="0.25">
      <c r="A8" s="30">
        <v>0.085062</v>
      </c>
      <c r="B8" s="31">
        <v>-0.26435767939748067</v>
      </c>
      <c r="C8" s="31">
        <v>-0.2511739267451668</v>
      </c>
      <c r="D8" s="31">
        <v>-0.23799017409285386</v>
      </c>
      <c r="E8" s="31">
        <v>-0.22480642144054044</v>
      </c>
      <c r="F8" s="31">
        <v>-0.21162266878822703</v>
      </c>
    </row>
    <row r="9" spans="1:6" x14ac:dyDescent="0.25">
      <c r="A9" s="30">
        <v>0.095062</v>
      </c>
      <c r="B9" s="31">
        <v>-0.6423454927495097</v>
      </c>
      <c r="C9" s="31">
        <v>-0.6310256864779876</v>
      </c>
      <c r="D9" s="31">
        <v>-0.619705880206466</v>
      </c>
      <c r="E9" s="31">
        <v>-0.6083860739349444</v>
      </c>
      <c r="F9" s="31">
        <v>-0.5970662676634222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523000000</v>
      </c>
      <c r="C5" s="18">
        <v>454000000</v>
      </c>
      <c r="D5" s="18">
        <v>575000000</v>
      </c>
      <c r="E5" s="18">
        <v>418000000</v>
      </c>
      <c r="F5" s="8" t="s">
        <v>84</v>
      </c>
    </row>
    <row r="6" spans="1:6" x14ac:dyDescent="0.25">
      <c r="A6" t="s">
        <v>44</v>
      </c>
      <c r="B6" s="18">
        <v>300000000</v>
      </c>
      <c r="C6" s="18">
        <v>249000000</v>
      </c>
      <c r="D6" s="18">
        <v>344000000</v>
      </c>
      <c r="E6" s="18">
        <v>233000000</v>
      </c>
      <c r="F6" s="8" t="s">
        <v>85</v>
      </c>
    </row>
    <row r="7" spans="1:6" x14ac:dyDescent="0.25">
      <c r="A7" t="s">
        <v>86</v>
      </c>
      <c r="B7" s="18">
        <v>0</v>
      </c>
      <c r="C7" s="18">
        <v>0</v>
      </c>
      <c r="D7" s="18">
        <v>0</v>
      </c>
      <c r="E7" s="18">
        <v>0</v>
      </c>
      <c r="F7" s="8" t="s">
        <v>87</v>
      </c>
    </row>
    <row r="8" spans="1:6" x14ac:dyDescent="0.25">
      <c r="A8" t="s">
        <v>88</v>
      </c>
      <c r="B8" s="18">
        <v>124000000</v>
      </c>
      <c r="C8" s="18">
        <v>216000000</v>
      </c>
      <c r="D8" s="18">
        <v>312000000</v>
      </c>
      <c r="E8" s="18">
        <v>209000000</v>
      </c>
      <c r="F8" s="8" t="s">
        <v>89</v>
      </c>
    </row>
    <row r="9" spans="1:6" x14ac:dyDescent="0.25">
      <c r="A9" t="s">
        <v>90</v>
      </c>
      <c r="B9" s="18">
        <v>-5000000</v>
      </c>
      <c r="C9" s="18">
        <v>22000000</v>
      </c>
      <c r="D9" s="18">
        <v>28000000</v>
      </c>
      <c r="E9" s="18">
        <v>0</v>
      </c>
      <c r="F9" s="8" t="s">
        <v>87</v>
      </c>
    </row>
    <row r="10" spans="1:6" x14ac:dyDescent="0.25">
      <c r="A10" t="s">
        <v>91</v>
      </c>
      <c r="B10" s="18">
        <v>3105000000</v>
      </c>
      <c r="C10" s="18">
        <v>2842000000</v>
      </c>
      <c r="D10" s="18">
        <v>2339000000</v>
      </c>
      <c r="E10" s="18">
        <v>2393000000</v>
      </c>
      <c r="F10" s="8" t="s">
        <v>92</v>
      </c>
    </row>
    <row r="11" spans="1:6" x14ac:dyDescent="0.25">
      <c r="A11" t="s">
        <v>93</v>
      </c>
      <c r="B11" s="18">
        <v>176000000</v>
      </c>
      <c r="C11" s="18">
        <v>57000000</v>
      </c>
      <c r="D11" s="18">
        <v>88000000</v>
      </c>
      <c r="E11" s="18">
        <v>125000000</v>
      </c>
      <c r="F11" s="8" t="s">
        <v>94</v>
      </c>
    </row>
    <row r="12" spans="1:6" x14ac:dyDescent="0.25">
      <c r="A12" t="s">
        <v>32</v>
      </c>
      <c r="B12" s="34">
        <v>1002000000</v>
      </c>
      <c r="C12" s="34">
        <v>965000000</v>
      </c>
      <c r="D12" s="34">
        <v>927000000</v>
      </c>
      <c r="E12" s="34">
        <v>927000000</v>
      </c>
      <c r="F12" s="8" t="s">
        <v>95</v>
      </c>
    </row>
    <row r="15" spans="1:1" x14ac:dyDescent="0.25">
      <c r="A15" s="19" t="s">
        <v>96</v>
      </c>
    </row>
    <row r="16" ht="54" customHeight="1" spans="1:6" x14ac:dyDescent="0.25">
      <c r="A16" s="35" t="s">
        <v>97</v>
      </c>
      <c r="B16" s="35"/>
      <c r="C16" s="35"/>
      <c r="D16" s="35"/>
      <c r="E16" s="35"/>
      <c r="F16" s="35"/>
    </row>
    <row r="17" ht="22" customHeight="1" spans="1:6" x14ac:dyDescent="0.25">
      <c r="A17" s="35" t="s">
        <v>98</v>
      </c>
      <c r="B17" s="35"/>
      <c r="C17" s="35"/>
      <c r="D17" s="35"/>
      <c r="E17" s="35"/>
      <c r="F17" s="35"/>
    </row>
    <row r="18" ht="22" customHeight="1" spans="1:6" x14ac:dyDescent="0.25">
      <c r="A18" s="35" t="s">
        <v>99</v>
      </c>
      <c r="B18" s="35"/>
      <c r="C18" s="35"/>
      <c r="D18" s="35"/>
      <c r="E18" s="35"/>
      <c r="F18" s="35"/>
    </row>
    <row r="19" ht="54" customHeight="1" spans="1:6" x14ac:dyDescent="0.25">
      <c r="A19" s="35" t="s">
        <v>100</v>
      </c>
      <c r="B19" s="35"/>
      <c r="C19" s="35"/>
      <c r="D19" s="35"/>
      <c r="E19" s="35"/>
      <c r="F19" s="35"/>
    </row>
    <row r="20" ht="22" customHeight="1" spans="1:6" x14ac:dyDescent="0.25">
      <c r="A20" s="35" t="s">
        <v>101</v>
      </c>
      <c r="B20" s="35"/>
      <c r="C20" s="35"/>
      <c r="D20" s="35"/>
      <c r="E20" s="35"/>
      <c r="F20" s="35"/>
    </row>
    <row r="21" ht="38" customHeight="1" spans="1:6" x14ac:dyDescent="0.25">
      <c r="A21" s="35" t="s">
        <v>102</v>
      </c>
      <c r="B21" s="35"/>
      <c r="C21" s="35"/>
      <c r="D21" s="35"/>
      <c r="E21" s="35"/>
      <c r="F21" s="35"/>
    </row>
    <row r="23" spans="1:1" x14ac:dyDescent="0.25">
      <c r="A23" s="36" t="s">
        <v>103</v>
      </c>
    </row>
  </sheetData>
  <mergeCells count="6">
    <mergeCell ref="A16:F16"/>
    <mergeCell ref="A17:F17"/>
    <mergeCell ref="A18:F18"/>
    <mergeCell ref="A19:F19"/>
    <mergeCell ref="A20:F20"/>
    <mergeCell ref="A21:F2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2026-09-19T02:00:08Z</dcterms:modified>
</cp:coreProperties>
</file>