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<sst xmlns="http://schemas.openxmlformats.org/spreadsheetml/2006/main" count="115" uniqueCount="102">
  <si>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Banca Mediolanum S.p.A. (BMED.MI)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</si>
  <si>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</si>
  <si>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</si>
  <si>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</si>
  <si>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</si>
  <si>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</si>
  <si>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</si>
  <si>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</si>
  <si>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</si>
  <si>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</si>
  <si>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</si>
  <si>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</si>
  <si>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</si>
  <si>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</si>
  <si>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</si>
  <si>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</si>
  <si>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</si>
  <si>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</si>
  <si>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</si>
  <si>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</si>
  <si>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</si>
  <si>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</si>
  <si>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93.9%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</si>
  <si>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</si>
  <si>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</si>
  <si>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</si>
  <si>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</si>
  <si>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</si>
  <si>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</si>
  <si>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</si>
  <si>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</si>
  <si>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</si>
  <si>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</si>
  <si>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</si>
  <si>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</si>
  <si>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</si>
  <si>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</si>
  <si>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</si>
  <si>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</si>
  <si>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</si>
  <si>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</si>
  <si>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</si>
  <si>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</si>
  <si>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</si>
  <si>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</si>
  <si>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</si>
  <si>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</si>
  <si>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</si>
  <si>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</si>
  <si>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</si>
  <si>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</si>
  <si>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</si>
  <si>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</si>
  <si>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</si>
  <si>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</si>
  <si>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</si>
  <si>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</si>
  <si>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</si>
  <si>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</si>
  <si>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</si>
  <si>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</si>
  <si>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</si>
  <si>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</si>
  <si>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</si>
  <si>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</si>
  <si>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</si>
  <si>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</si>
  <si>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</si>
  <si>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</si>
  <si>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</si>
  <si>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</si>
  <si>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</si>
  <si>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</si>
  <si>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</si>
  <si>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</si>
  <si>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</si>
  <si>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</si>
  <si>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</si>
  <si>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</si>
  <si>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</si>
  <si>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</si>
  <si>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</si>
  <si>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</si>
  <si>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</si>
  <si>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</si>
  <si>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</si>
  <si>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</si>
  <si>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</si>
  <si>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</si>
  <si>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</si>
  <si>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</si>
  <si>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</si>
  <si>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</si>
  <si>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</si>
  <si>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</si>
  <si>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</si>
  <si>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</si>
  <si>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</si>
  <si>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</si>
  <si>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Capital expenditure runs at 2.8%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</si>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</sst>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0.20041576783144133</v>
      </c>
    </row>
    <row r="7" spans="1:2" x14ac:dyDescent="0.25">
      <c r="A7" t="s">
        <v>5</v>
      </c>
      <c r="B7" s="6">
        <v>0.5495104691667446</v>
      </c>
    </row>
    <row r="8" spans="1:2" x14ac:dyDescent="0.25">
      <c r="A8" t="s">
        <v>6</v>
      </c>
      <c r="B8" s="6">
        <v>0.22050655527213603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0.027641715564442733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11.766493820545767</v>
      </c>
    </row>
    <row r="14" spans="1:3" x14ac:dyDescent="0.25">
      <c r="A14" t="s">
        <v>12</v>
      </c>
      <c r="B14" s="6">
        <v>0.22578334904004402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0.83317</v>
      </c>
      <c r="C19" s="8" t="s">
        <v>19</v>
      </c>
    </row>
    <row r="20" spans="1:2" x14ac:dyDescent="0.25">
      <c r="A20" t="s">
        <v>20</v>
      </c>
      <c r="B20" s="10">
        <f>B17+B19*B18</f>
        <v>0.09615604999999999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17239904256</v>
      </c>
    </row>
    <row r="23" spans="1:2" x14ac:dyDescent="0.25">
      <c r="A23" t="s">
        <v>24</v>
      </c>
      <c r="B23" s="11">
        <v>388779000</v>
      </c>
    </row>
    <row r="24" spans="1:2" x14ac:dyDescent="0.25">
      <c r="A24" t="s">
        <v>25</v>
      </c>
      <c r="B24" s="10">
        <f>B22/(B22+B23)</f>
        <v>0.9779462257983632</v>
      </c>
    </row>
    <row r="25" spans="1:2" x14ac:dyDescent="0.25">
      <c r="A25" t="s">
        <v>26</v>
      </c>
      <c r="B25" s="10">
        <f>1-B24</f>
        <v>0.02205377420163679</v>
      </c>
    </row>
    <row r="26" spans="1:2" x14ac:dyDescent="0.25">
      <c r="A26" t="s">
        <v>27</v>
      </c>
      <c r="B26" s="12">
        <f>B24*B20+B25*B21*(1-B8)</f>
        <v>0.09510127407532314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2440482000</v>
      </c>
      <c r="C29" s="8" t="s">
        <v>30</v>
      </c>
    </row>
    <row r="30" spans="1:2" x14ac:dyDescent="0.25">
      <c r="A30" t="s">
        <v>31</v>
      </c>
      <c r="B30" s="11">
        <v>-417854000</v>
      </c>
    </row>
    <row r="31" spans="1:2" x14ac:dyDescent="0.25">
      <c r="A31" t="s">
        <v>32</v>
      </c>
      <c r="B31" s="13">
        <v>739224387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0.20041576783144133</v>
      </c>
      <c r="C5" s="10">
        <f>Assumptions!B6</f>
        <v>0.20041576783144133</v>
      </c>
      <c r="D5" s="10">
        <f>Assumptions!B6</f>
        <v>0.20041576783144133</v>
      </c>
      <c r="E5" s="10">
        <f>Assumptions!B6</f>
        <v>0.20041576783144133</v>
      </c>
      <c r="F5" s="10">
        <f>Assumptions!B6</f>
        <v>0.20041576783144133</v>
      </c>
    </row>
    <row r="6" spans="1:6" x14ac:dyDescent="0.25">
      <c r="A6" t="s">
        <v>43</v>
      </c>
      <c r="B6" s="18">
        <f>Assumptions!B29*(1+B5)</f>
        <v>2929593073.9088116</v>
      </c>
      <c r="C6" s="18">
        <f>B6*(1+C5)</f>
        <v>3516729719.2499185</v>
      </c>
      <c r="D6" s="18">
        <f>C6*(1+D5)</f>
        <v>4221537806.18904</v>
      </c>
      <c r="E6" s="18">
        <f>D6*(1+E5)</f>
        <v>5067600547.045875</v>
      </c>
      <c r="F6" s="18">
        <f>E6*(1+F5)</f>
        <v>6083227601.745106</v>
      </c>
    </row>
    <row r="7" spans="1:6" x14ac:dyDescent="0.25">
      <c r="A7" t="s">
        <v>5</v>
      </c>
      <c r="B7" s="10">
        <f>Assumptions!B7</f>
        <v>0.5495104691667446</v>
      </c>
      <c r="C7" s="10">
        <f>Assumptions!B7</f>
        <v>0.5495104691667446</v>
      </c>
      <c r="D7" s="10">
        <f>Assumptions!B7</f>
        <v>0.5495104691667446</v>
      </c>
      <c r="E7" s="10">
        <f>Assumptions!B7</f>
        <v>0.5495104691667446</v>
      </c>
      <c r="F7" s="10">
        <f>Assumptions!B7</f>
        <v>0.5495104691667446</v>
      </c>
    </row>
    <row r="8" spans="1:6" x14ac:dyDescent="0.25">
      <c r="A8" t="s">
        <v>44</v>
      </c>
      <c r="B8" s="18">
        <f>B6*B7</f>
        <v>1609842064.5112765</v>
      </c>
      <c r="C8" s="18">
        <f>C6*C7</f>
        <v>1932479797.9576569</v>
      </c>
      <c r="D8" s="18">
        <f>D6*D7</f>
        <v>2319779220.4840894</v>
      </c>
      <c r="E8" s="18">
        <f>E6*E7</f>
        <v>2784699554.1568303</v>
      </c>
      <c r="F8" s="18">
        <f>F6*F7</f>
        <v>3342797253.4830437</v>
      </c>
    </row>
    <row r="9" spans="1:6" x14ac:dyDescent="0.25">
      <c r="A9" t="s">
        <v>45</v>
      </c>
      <c r="B9" s="18">
        <f>B8*(1-Assumptions!B8)</f>
        <v>1254861336.3337111</v>
      </c>
      <c r="C9" s="18">
        <f>C8*(1-Assumptions!B8)</f>
        <v>1506355334.5770206</v>
      </c>
      <c r="D9" s="18">
        <f>D8*(1-Assumptions!B8)</f>
        <v>1808252695.583262</v>
      </c>
      <c r="E9" s="18">
        <f>E8*(1-Assumptions!B8)</f>
        <v>2170655048.0018544</v>
      </c>
      <c r="F9" s="18">
        <f>F8*(1-Assumptions!B8)</f>
        <v>2605688546.1443405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-80978978.46854882</v>
      </c>
      <c r="C11" s="18">
        <f>-C6*Assumptions!B10</f>
        <v>-97208442.6165288</v>
      </c>
      <c r="D11" s="18">
        <f>-D6*Assumptions!B10</f>
        <v>-116690547.28321902</v>
      </c>
      <c r="E11" s="18">
        <f>-E6*Assumptions!B10</f>
        <v>-140077172.91565645</v>
      </c>
      <c r="F11" s="18">
        <f>-F6*Assumptions!B10</f>
        <v>-168150847.08120534</v>
      </c>
    </row>
    <row r="12" spans="1:6" x14ac:dyDescent="0.25">
      <c r="A12" t="s">
        <v>48</v>
      </c>
      <c r="B12" s="18">
        <f>-(B6-Assumptions!B29)*Assumptions!B11</f>
        <v>-489111073.90881157</v>
      </c>
      <c r="C12" s="18">
        <f>-(C6-B6)*Assumptions!B11</f>
        <v>-587136645.3411069</v>
      </c>
      <c r="D12" s="18">
        <f>-(D6-C6)*Assumptions!B11</f>
        <v>-704808086.9391217</v>
      </c>
      <c r="E12" s="18">
        <f>-(E6-D6)*Assumptions!B11</f>
        <v>-846062740.8568344</v>
      </c>
      <c r="F12" s="18">
        <f>-(F6-E6)*Assumptions!B11</f>
        <v>-1015627054.6992311</v>
      </c>
    </row>
    <row r="13" spans="1:6" x14ac:dyDescent="0.25">
      <c r="A13" s="19" t="s">
        <v>49</v>
      </c>
      <c r="B13" s="20">
        <f>B9+B10+B11+B12</f>
        <v>684771283.9563508</v>
      </c>
      <c r="C13" s="20">
        <f>C9+C10+C11+C12</f>
        <v>822010246.619385</v>
      </c>
      <c r="D13" s="20">
        <f>D9+D10+D11+D12</f>
        <v>986754061.3609211</v>
      </c>
      <c r="E13" s="20">
        <f>E9+E10+E11+E12</f>
        <v>1184515134.2293634</v>
      </c>
      <c r="F13" s="20">
        <f>F9+F10+F11+F12</f>
        <v>1421910644.363904</v>
      </c>
    </row>
    <row r="14" spans="1:6" x14ac:dyDescent="0.25">
      <c r="A14" t="s">
        <v>50</v>
      </c>
      <c r="B14" s="21">
        <f>1/(1+Assumptions!$B$26)^(1-0.5*Assumptions!$B$32)</f>
        <v>0.9555927758486018</v>
      </c>
      <c r="C14" s="21">
        <f>1/(1+Assumptions!$B$26)^(2-0.5*Assumptions!$B$32)</f>
        <v>0.8726067611011421</v>
      </c>
      <c r="D14" s="21">
        <f>1/(1+Assumptions!$B$26)^(3-0.5*Assumptions!$B$32)</f>
        <v>0.7968274549200484</v>
      </c>
      <c r="E14" s="21">
        <f>1/(1+Assumptions!$B$26)^(4-0.5*Assumptions!$B$32)</f>
        <v>0.7276290091004323</v>
      </c>
      <c r="F14" s="21">
        <f>1/(1+Assumptions!$B$26)^(5-0.5*Assumptions!$B$32)</f>
        <v>0.6644399256268096</v>
      </c>
    </row>
    <row r="15" spans="1:6" x14ac:dyDescent="0.25">
      <c r="A15" s="19" t="s">
        <v>51</v>
      </c>
      <c r="B15" s="20">
        <f>B13*B14</f>
        <v>654362492.0572604</v>
      </c>
      <c r="C15" s="20">
        <f>C13*C14</f>
        <v>717291698.8944926</v>
      </c>
      <c r="D15" s="20">
        <f>D13*D14</f>
        <v>786272727.346244</v>
      </c>
      <c r="E15" s="20">
        <f>E13*E14</f>
        <v>861887573.3837773</v>
      </c>
      <c r="F15" s="20">
        <f>F13*F14</f>
        <v>944774202.7891214</v>
      </c>
    </row>
    <row r="17" spans="1:2" x14ac:dyDescent="0.25">
      <c r="A17" s="22" t="s">
        <v>52</v>
      </c>
      <c r="B17" s="23">
        <f>SUM(B15:F15)</f>
        <v>3964588694.470896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1421910644.363904</v>
      </c>
    </row>
    <row r="5" spans="1:2" x14ac:dyDescent="0.25">
      <c r="A5" t="s">
        <v>56</v>
      </c>
      <c r="B5" s="18">
        <f>IF(Assumptions!$B$33=0,B4,B4-Forecast!F11-Forecast!F10-Forecast!F12)</f>
        <v>2605688546.1443405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0.11072561420623672</v>
      </c>
    </row>
    <row r="7" spans="1:2" x14ac:dyDescent="0.25">
      <c r="A7" t="s">
        <v>58</v>
      </c>
      <c r="B7" s="18">
        <f>-MAX(Forecast!F9,0)*B6</f>
        <v>-288516464.7019881</v>
      </c>
    </row>
    <row r="8" spans="1:2" x14ac:dyDescent="0.25">
      <c r="A8" t="s">
        <v>59</v>
      </c>
      <c r="B8" s="18">
        <f>IF(OR(Assumptions!$B$33=0,Assumptions!B12&lt;=0),B5,MAX(B5+B7,0))</f>
        <v>2317172081.4423523</v>
      </c>
    </row>
    <row r="9" spans="1:2" x14ac:dyDescent="0.25">
      <c r="A9" t="s">
        <v>60</v>
      </c>
      <c r="B9" s="18">
        <f>B8*(1+Assumptions!B12)/(Assumptions!B26-Assumptions!B12)</f>
        <v>33881001662.343365</v>
      </c>
    </row>
    <row r="10" spans="1:2" x14ac:dyDescent="0.25">
      <c r="A10" t="s">
        <v>61</v>
      </c>
      <c r="B10" s="18">
        <f>B9/(1+Assumptions!B26)^(5-0.5*Assumptions!B32)</f>
        <v>22511890224.68924</v>
      </c>
    </row>
    <row r="11" spans="1:2" x14ac:dyDescent="0.25">
      <c r="A11" t="s">
        <v>62</v>
      </c>
      <c r="B11" s="18">
        <f>Forecast!B17+B10</f>
        <v>26476478919.160133</v>
      </c>
    </row>
    <row r="12" spans="1:2" x14ac:dyDescent="0.25">
      <c r="A12" t="s">
        <v>63</v>
      </c>
      <c r="B12" s="18">
        <f>-Assumptions!B30</f>
        <v>417854000</v>
      </c>
    </row>
    <row r="13" spans="1:2" x14ac:dyDescent="0.25">
      <c r="A13" t="s">
        <v>64</v>
      </c>
      <c r="B13" s="18">
        <f>B11+B12</f>
        <v>26894332919.160133</v>
      </c>
    </row>
    <row r="14" spans="1:2" x14ac:dyDescent="0.25">
      <c r="A14" s="19" t="s">
        <v>65</v>
      </c>
      <c r="B14" s="24">
        <f>B13/Assumptions!B31</f>
        <v>36.38182585981181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3342797253.4830437</v>
      </c>
    </row>
    <row r="18" spans="1:2" x14ac:dyDescent="0.25">
      <c r="A18" t="s">
        <v>60</v>
      </c>
      <c r="B18" s="18">
        <f>B17*Assumptions!B13</f>
        <v>39333003226.445595</v>
      </c>
    </row>
    <row r="19" spans="1:2" x14ac:dyDescent="0.25">
      <c r="A19" t="s">
        <v>61</v>
      </c>
      <c r="B19" s="18">
        <f>B18/(1+Assumptions!B26)^(5-0.5*Assumptions!B32)</f>
        <v>26134417738.458576</v>
      </c>
    </row>
    <row r="20" spans="1:2" x14ac:dyDescent="0.25">
      <c r="A20" t="s">
        <v>62</v>
      </c>
      <c r="B20" s="18">
        <f>Forecast!B17+B19</f>
        <v>30099006432.929474</v>
      </c>
    </row>
    <row r="21" spans="1:2" x14ac:dyDescent="0.25">
      <c r="A21" t="s">
        <v>63</v>
      </c>
      <c r="B21" s="18">
        <f>-Assumptions!B30</f>
        <v>417854000</v>
      </c>
    </row>
    <row r="22" spans="1:2" x14ac:dyDescent="0.25">
      <c r="A22" t="s">
        <v>64</v>
      </c>
      <c r="B22" s="18">
        <f>B20+B21</f>
        <v>30516860432.929474</v>
      </c>
    </row>
    <row r="23" spans="1:2" x14ac:dyDescent="0.25">
      <c r="A23" s="19" t="s">
        <v>65</v>
      </c>
      <c r="B23" s="25">
        <f>B22/Assumptions!B31</f>
        <v>41.282269591749106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36.38182585981181</v>
      </c>
    </row>
    <row r="29" spans="1:2" x14ac:dyDescent="0.25">
      <c r="A29" s="19" t="s">
        <v>73</v>
      </c>
      <c r="B29" s="12">
        <f>B28/B26-1</f>
        <v>0.5634647984448566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0.075101</v>
      </c>
      <c r="B5" s="31">
        <v>46.32151013410779</v>
      </c>
      <c r="C5" s="31">
        <v>49.13445702713243</v>
      </c>
      <c r="D5" s="31">
        <v>52.497611653494864</v>
      </c>
      <c r="E5" s="31">
        <v>56.59396587590481</v>
      </c>
      <c r="F5" s="31">
        <v>61.69777704307451</v>
      </c>
    </row>
    <row r="6" spans="1:6" x14ac:dyDescent="0.25">
      <c r="A6" s="30">
        <v>0.085101</v>
      </c>
      <c r="B6" s="31">
        <v>39.05514466086497</v>
      </c>
      <c r="C6" s="31">
        <v>40.917229780795935</v>
      </c>
      <c r="D6" s="31">
        <v>43.08014741887569</v>
      </c>
      <c r="E6" s="31">
        <v>45.62579241861407</v>
      </c>
      <c r="F6" s="31">
        <v>48.668751523287185</v>
      </c>
    </row>
    <row r="7" spans="1:6" x14ac:dyDescent="0.25">
      <c r="A7" s="30">
        <v>0.095101</v>
      </c>
      <c r="B7" s="31">
        <v>33.63450689898699</v>
      </c>
      <c r="C7" s="31">
        <v>34.920238560935</v>
      </c>
      <c r="D7" s="32">
        <v>36.38198282309162</v>
      </c>
      <c r="E7" s="31">
        <v>38.06029496115354</v>
      </c>
      <c r="F7" s="31">
        <v>40.009225958275444</v>
      </c>
    </row>
    <row r="8" spans="1:6" x14ac:dyDescent="0.25">
      <c r="A8" s="30">
        <v>0.105101</v>
      </c>
      <c r="B8" s="31">
        <v>29.443495366115847</v>
      </c>
      <c r="C8" s="31">
        <v>30.359240430040003</v>
      </c>
      <c r="D8" s="31">
        <v>31.383093772699173</v>
      </c>
      <c r="E8" s="31">
        <v>32.5366479718357</v>
      </c>
      <c r="F8" s="31">
        <v>33.84765602451322</v>
      </c>
    </row>
    <row r="9" spans="1:6" x14ac:dyDescent="0.25">
      <c r="A9" s="30">
        <v>0.115101</v>
      </c>
      <c r="B9" s="31">
        <v>26.112290064136793</v>
      </c>
      <c r="C9" s="31">
        <v>26.779938947803952</v>
      </c>
      <c r="D9" s="31">
        <v>27.516381718720062</v>
      </c>
      <c r="E9" s="31">
        <v>28.333744066462625</v>
      </c>
      <c r="F9" s="31">
        <v>29.24717928065844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2440482000</v>
      </c>
      <c r="C5" s="18">
        <v>2419351000</v>
      </c>
      <c r="D5" s="18">
        <v>1918460000</v>
      </c>
      <c r="E5" s="18">
        <v>1410849000</v>
      </c>
      <c r="F5" s="8" t="s">
        <v>84</v>
      </c>
    </row>
    <row r="6" spans="1:6" x14ac:dyDescent="0.25">
      <c r="A6" t="s">
        <v>44</v>
      </c>
      <c r="B6" s="18">
        <v>1429657000</v>
      </c>
      <c r="C6" s="18">
        <v>1450694000</v>
      </c>
      <c r="D6" s="18">
        <v>1067168000</v>
      </c>
      <c r="E6" s="18">
        <v>643839000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85</v>
      </c>
    </row>
    <row r="8" spans="1:6" x14ac:dyDescent="0.25">
      <c r="A8" t="s">
        <v>87</v>
      </c>
      <c r="B8" s="18">
        <v>43479000</v>
      </c>
      <c r="C8" s="18">
        <v>56479000</v>
      </c>
      <c r="D8" s="18">
        <v>52269000</v>
      </c>
      <c r="E8" s="18">
        <v>59483000</v>
      </c>
      <c r="F8" s="8" t="s">
        <v>88</v>
      </c>
    </row>
    <row r="9" spans="1:6" x14ac:dyDescent="0.25">
      <c r="A9" t="s">
        <v>89</v>
      </c>
      <c r="B9" s="18">
        <v>855785000</v>
      </c>
      <c r="C9" s="18">
        <v>351874000</v>
      </c>
      <c r="D9" s="18">
        <v>3021623000</v>
      </c>
      <c r="E9" s="18">
        <v>-2275799000</v>
      </c>
      <c r="F9" s="8" t="s">
        <v>90</v>
      </c>
    </row>
    <row r="10" spans="1:6" x14ac:dyDescent="0.25">
      <c r="A10" t="s">
        <v>91</v>
      </c>
      <c r="B10" s="18">
        <v>388779000</v>
      </c>
      <c r="C10" s="18">
        <v>396877000</v>
      </c>
      <c r="D10" s="18">
        <v>385998000</v>
      </c>
      <c r="E10" s="18">
        <v>372293000</v>
      </c>
      <c r="F10" s="8" t="s">
        <v>92</v>
      </c>
    </row>
    <row r="11" spans="1:6" x14ac:dyDescent="0.25">
      <c r="A11" t="s">
        <v>93</v>
      </c>
      <c r="B11" s="18">
        <v>806633000</v>
      </c>
      <c r="C11" s="18">
        <v>1282699000</v>
      </c>
      <c r="D11" s="18">
        <v>384777000</v>
      </c>
      <c r="E11" s="18">
        <v>2754107000</v>
      </c>
      <c r="F11" s="8" t="s">
        <v>94</v>
      </c>
    </row>
    <row r="12" spans="1:6" x14ac:dyDescent="0.25">
      <c r="A12" t="s">
        <v>32</v>
      </c>
      <c r="B12" s="34">
        <v>739224387</v>
      </c>
      <c r="C12" s="34">
        <v>737385088</v>
      </c>
      <c r="D12" s="34">
        <v>741140846</v>
      </c>
      <c r="E12" s="34">
        <v>744207493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