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<sst xmlns="http://schemas.openxmlformats.org/spreadsheetml/2006/main" count="114" uniqueCount="102">
  <si>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Bank of Montreal (BMO.TO)</t>
  </si>
  <si>
    <t>DCF Studio - Base case</t>
  </si>
  <si>
    <t>Blue figures on a cream fill are inputs. Every other figure is a formula - change an input and the model reprices. Currency figures are CAD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</si>
  <si>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</si>
  <si>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</si>
  <si>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</si>
  <si>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</si>
  <si>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</si>
  <si>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</si>
  <si>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</si>
  <si>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</si>
  <si>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</si>
  <si>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</si>
  <si>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</si>
  <si>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</si>
  <si>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</si>
  <si>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CAD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</si>
  <si>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</si>
  <si>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</si>
  <si>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</si>
  <si>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</si>
  <si>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</si>
  <si>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Implied cost of debt of 15.4% is not a credible funding cost, so risk-free + 2bp is assumed instead. Interest expense and reported debt are measuring different things - common for banks, whose interest expense includes deposits that total debt excludes.</t>
  </si>
  <si>
    <t>Market capitalisation (CAD m)</t>
  </si>
  <si>
    <t>Total debt (CAD m)</t>
  </si>
  <si>
    <t>Equity weight</t>
  </si>
  <si>
    <t>Debt weight</t>
  </si>
  <si>
    <t>WACC</t>
  </si>
  <si>
    <t>Base year</t>
  </si>
  <si>
    <t>Revenue, last reported year (CAD m)</t>
  </si>
  <si>
    <t>Fiscal year ended 2025-10-31</t>
  </si>
  <si>
    <t>Net debt (CAD m)</t>
  </si>
  <si>
    <t>Diluted shares</t>
  </si>
  <si>
    <t>Mid-year discounting (1 = yes, 0 = no)</t>
  </si>
  <si>
    <t>Terminal year on a steady-state footing (1 = yes, 0 = no)</t>
  </si>
  <si>
    <t>Forecast cashflows (CAD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</si>
  <si>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</si>
  <si>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</si>
  <si>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</si>
  <si>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</si>
  <si>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</si>
  <si>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</si>
  <si>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</si>
  <si>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</si>
  <si>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</si>
  <si>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</si>
  <si>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</si>
  <si>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</si>
  <si>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</si>
  <si>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</si>
  <si>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</si>
  <si>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</si>
  <si>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</si>
  <si>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(CAD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</si>
  <si>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</si>
  <si>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</si>
  <si>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</si>
  <si>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</si>
  <si>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</si>
  <si>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</si>
  <si>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</si>
  <si>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</si>
  <si>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</si>
  <si>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</si>
  <si>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</si>
  <si>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</si>
  <si>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</si>
  <si>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</si>
  <si>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</si>
  <si>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(CAD)</t>
  </si>
  <si>
    <t>Conversion, CAD to CAD</t>
  </si>
  <si>
    <t>Same currency, no conversion</t>
  </si>
  <si>
    <t>Value per share (CAD)</t>
  </si>
  <si>
    <t>Implied upside</t>
  </si>
  <si>
    <t>Value per share (CAD)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</si>
  <si>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</si>
  <si>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(CAD m, except shares)</t>
  </si>
  <si>
    <t>What the model was built from. "derived" means the figure was not reported and was computed - the note says how.</t>
  </si>
  <si>
    <t>Fiscal year end</t>
  </si>
  <si>
    <t>2025-10-31</t>
  </si>
  <si>
    <t>2024-10-31</t>
  </si>
  <si>
    <t>2023-10-31</t>
  </si>
  <si>
    <t>2022-10-31</t>
  </si>
  <si>
    <t>Yahoo field, latest year</t>
  </si>
  <si>
    <t>totalRevenue</t>
  </si>
  <si>
    <t>derived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</si>
  <si>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</si>
  <si>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</si>
  <si>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</si>
  <si>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</si>
  <si>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</si>
  <si>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</si>
  <si>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</si>
  <si>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</si>
  <si>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</si>
  <si>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cashAndCashEquivalents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</si>
  <si>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</si>
  <si>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</si>
  <si>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</si>
  <si>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Note: Risk-free rate is an assumption: CAD assumption - no free live source available for this market.</t>
  </si>
  <si>
    <t>Current EV/EBITDA of 27.7x sits outside a defensible 3-20x band, so the exit multiple is capped at 20.0x. A multiple that far out usually means EBITDA is the wrong denominator for this business.</t>
  </si>
  <si>
    <t>Data: Yahoo Finance. Risk-free rate: CAD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</si>
</sst>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0.11191689564327234</v>
      </c>
    </row>
    <row r="7" spans="1:2" x14ac:dyDescent="0.25">
      <c r="A7" t="s">
        <v>5</v>
      </c>
      <c r="B7" s="6">
        <v>0.3724521257927581</v>
      </c>
    </row>
    <row r="8" spans="1:2" x14ac:dyDescent="0.25">
      <c r="A8" t="s">
        <v>6</v>
      </c>
      <c r="B8" s="6">
        <v>0.24386990623152985</v>
      </c>
    </row>
    <row r="9" spans="1:2" x14ac:dyDescent="0.25">
      <c r="A9" t="s">
        <v>7</v>
      </c>
      <c r="B9" s="6">
        <v>0.06245967284657503</v>
      </c>
    </row>
    <row r="10" spans="1:2" x14ac:dyDescent="0.25">
      <c r="A10" t="s">
        <v>8</v>
      </c>
      <c r="B10" s="6">
        <v>0.05143708888874227</v>
      </c>
    </row>
    <row r="11" spans="1:2" x14ac:dyDescent="0.25">
      <c r="A11" t="s">
        <v>9</v>
      </c>
      <c r="B11" s="6">
        <v>-0.403006589785832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0.05993851425149814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0.033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1.08576</v>
      </c>
      <c r="C19" s="8" t="s">
        <v>19</v>
      </c>
    </row>
    <row r="20" spans="1:2" x14ac:dyDescent="0.25">
      <c r="A20" t="s">
        <v>20</v>
      </c>
      <c r="B20" s="10">
        <f>B17+B19*B18</f>
        <v>0.0927168</v>
      </c>
    </row>
    <row r="21" spans="1:3" x14ac:dyDescent="0.25">
      <c r="A21" t="s">
        <v>21</v>
      </c>
      <c r="B21" s="6">
        <v>0.053000000000000005</v>
      </c>
      <c r="C21" s="8" t="s">
        <v>22</v>
      </c>
    </row>
    <row r="22" spans="1:2" x14ac:dyDescent="0.25">
      <c r="A22" t="s">
        <v>23</v>
      </c>
      <c r="B22" s="11">
        <v>169817980928</v>
      </c>
    </row>
    <row r="23" spans="1:2" x14ac:dyDescent="0.25">
      <c r="A23" t="s">
        <v>24</v>
      </c>
      <c r="B23" s="11">
        <v>280228000000</v>
      </c>
    </row>
    <row r="24" spans="1:2" x14ac:dyDescent="0.25">
      <c r="A24" t="s">
        <v>25</v>
      </c>
      <c r="B24" s="10">
        <f>B22/(B22+B23)</f>
        <v>0.37733473494826764</v>
      </c>
    </row>
    <row r="25" spans="1:2" x14ac:dyDescent="0.25">
      <c r="A25" t="s">
        <v>26</v>
      </c>
      <c r="B25" s="10">
        <f>1-B24</f>
        <v>0.6226652650517324</v>
      </c>
    </row>
    <row r="26" spans="1:2" x14ac:dyDescent="0.25">
      <c r="A26" t="s">
        <v>27</v>
      </c>
      <c r="B26" s="12">
        <f>B24*B20+B25*B21*(1-B8)</f>
        <v>0.05993851425149814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36099000000</v>
      </c>
      <c r="C29" s="8" t="s">
        <v>30</v>
      </c>
    </row>
    <row r="30" spans="1:2" x14ac:dyDescent="0.25">
      <c r="A30" t="s">
        <v>31</v>
      </c>
      <c r="B30" s="11">
        <v>209906000000</v>
      </c>
    </row>
    <row r="31" spans="1:2" x14ac:dyDescent="0.25">
      <c r="A31" t="s">
        <v>32</v>
      </c>
      <c r="B31" s="13">
        <v>723267000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0.11191689564327234</v>
      </c>
      <c r="C5" s="10">
        <f>Assumptions!B6</f>
        <v>0.11191689564327234</v>
      </c>
      <c r="D5" s="10">
        <f>Assumptions!B6</f>
        <v>0.11191689564327234</v>
      </c>
      <c r="E5" s="10">
        <f>Assumptions!B6</f>
        <v>0.11191689564327234</v>
      </c>
      <c r="F5" s="10">
        <f>Assumptions!B6</f>
        <v>0.11191689564327234</v>
      </c>
    </row>
    <row r="6" spans="1:6" x14ac:dyDescent="0.25">
      <c r="A6" t="s">
        <v>43</v>
      </c>
      <c r="B6" s="18">
        <f>Assumptions!B29*(1+B5)</f>
        <v>40139088015.826485</v>
      </c>
      <c r="C6" s="18">
        <f>B6*(1+C5)</f>
        <v>44631330140.50986</v>
      </c>
      <c r="D6" s="18">
        <f>C6*(1+D5)</f>
        <v>49626330058.26573</v>
      </c>
      <c r="E6" s="18">
        <f>D6*(1+E5)</f>
        <v>55180354860.555244</v>
      </c>
      <c r="F6" s="18">
        <f>E6*(1+F5)</f>
        <v>61355968877.04274</v>
      </c>
    </row>
    <row r="7" spans="1:6" x14ac:dyDescent="0.25">
      <c r="A7" t="s">
        <v>5</v>
      </c>
      <c r="B7" s="10">
        <f>Assumptions!B7</f>
        <v>0.3724521257927581</v>
      </c>
      <c r="C7" s="10">
        <f>Assumptions!B7</f>
        <v>0.3724521257927581</v>
      </c>
      <c r="D7" s="10">
        <f>Assumptions!B7</f>
        <v>0.3724521257927581</v>
      </c>
      <c r="E7" s="10">
        <f>Assumptions!B7</f>
        <v>0.3724521257927581</v>
      </c>
      <c r="F7" s="10">
        <f>Assumptions!B7</f>
        <v>0.3724521257927581</v>
      </c>
    </row>
    <row r="8" spans="1:6" x14ac:dyDescent="0.25">
      <c r="A8" t="s">
        <v>44</v>
      </c>
      <c r="B8" s="18">
        <f>B6*B7</f>
        <v>14949888658.877195</v>
      </c>
      <c r="C8" s="18">
        <f>C6*C7</f>
        <v>16623033787.791294</v>
      </c>
      <c r="D8" s="18">
        <f>D6*D7</f>
        <v>18483432125.49412</v>
      </c>
      <c r="E8" s="18">
        <f>E6*E7</f>
        <v>20552040469.812553</v>
      </c>
      <c r="F8" s="18">
        <f>F6*F7</f>
        <v>22852161038.328873</v>
      </c>
    </row>
    <row r="9" spans="1:6" x14ac:dyDescent="0.25">
      <c r="A9" t="s">
        <v>45</v>
      </c>
      <c r="B9" s="18">
        <f>B8*(1-Assumptions!B8)</f>
        <v>11304060713.465002</v>
      </c>
      <c r="C9" s="18">
        <f>C8*(1-Assumptions!B8)</f>
        <v>12569176096.67908</v>
      </c>
      <c r="D9" s="18">
        <f>D8*(1-Assumptions!B8)</f>
        <v>13975879266.213024</v>
      </c>
      <c r="E9" s="18">
        <f>E8*(1-Assumptions!B8)</f>
        <v>15540016287.57276</v>
      </c>
      <c r="F9" s="18">
        <f>F8*(1-Assumptions!B8)</f>
        <v>17279206668.723793</v>
      </c>
    </row>
    <row r="10" spans="1:6" x14ac:dyDescent="0.25">
      <c r="A10" t="s">
        <v>46</v>
      </c>
      <c r="B10" s="18">
        <f>B6*Assumptions!B9</f>
        <v>2507074305.828403</v>
      </c>
      <c r="C10" s="18">
        <f>C6*Assumptions!B9</f>
        <v>2787658279.2837296</v>
      </c>
      <c r="D10" s="18">
        <f>D6*Assumptions!B9</f>
        <v>3099644340.0154305</v>
      </c>
      <c r="E10" s="18">
        <f>E6*Assumptions!B9</f>
        <v>3446546912.148197</v>
      </c>
      <c r="F10" s="18">
        <f>F6*Assumptions!B9</f>
        <v>3832273743.244729</v>
      </c>
    </row>
    <row r="11" spans="1:6" x14ac:dyDescent="0.25">
      <c r="A11" t="s">
        <v>47</v>
      </c>
      <c r="B11" s="18">
        <f>-B6*Assumptions!B10</f>
        <v>-2064637838.1831167</v>
      </c>
      <c r="C11" s="18">
        <f>-C6*Assumptions!B10</f>
        <v>-2295705695.6602077</v>
      </c>
      <c r="D11" s="18">
        <f>-D6*Assumptions!B10</f>
        <v>-2552633950.429077</v>
      </c>
      <c r="E11" s="18">
        <f>-E6*Assumptions!B10</f>
        <v>-2838316817.874722</v>
      </c>
      <c r="F11" s="18">
        <f>-F6*Assumptions!B10</f>
        <v>-3155972424.9833517</v>
      </c>
    </row>
    <row r="12" spans="1:6" x14ac:dyDescent="0.25">
      <c r="A12" t="s">
        <v>48</v>
      </c>
      <c r="B12" s="18">
        <f>-(B6-Assumptions!B29)*Assumptions!B11</f>
        <v>1628182093.6928399</v>
      </c>
      <c r="C12" s="18">
        <f>-(C6-B6)*Assumptions!B11</f>
        <v>1810403179.160906</v>
      </c>
      <c r="D12" s="18">
        <f>-(D6-C6)*Assumptions!B11</f>
        <v>2013017882.8353062</v>
      </c>
      <c r="E12" s="18">
        <f>-(E6-D6)*Assumptions!B11</f>
        <v>2238308595.156626</v>
      </c>
      <c r="F12" s="18">
        <f>-(F6-E6)*Assumptions!B11</f>
        <v>2488813144.6182103</v>
      </c>
    </row>
    <row r="13" spans="1:6" x14ac:dyDescent="0.25">
      <c r="A13" s="19" t="s">
        <v>49</v>
      </c>
      <c r="B13" s="20">
        <f>B9+B10+B11+B12</f>
        <v>13374679274.80313</v>
      </c>
      <c r="C13" s="20">
        <f>C9+C10+C11+C12</f>
        <v>14871531859.463507</v>
      </c>
      <c r="D13" s="20">
        <f>D9+D10+D11+D12</f>
        <v>16535907538.634684</v>
      </c>
      <c r="E13" s="20">
        <f>E9+E10+E11+E12</f>
        <v>18386554977.00286</v>
      </c>
      <c r="F13" s="20">
        <f>F9+F10+F11+F12</f>
        <v>20444321131.60338</v>
      </c>
    </row>
    <row r="14" spans="1:6" x14ac:dyDescent="0.25">
      <c r="A14" t="s">
        <v>50</v>
      </c>
      <c r="B14" s="21">
        <f>1/(1+Assumptions!$B$26)^(1-0.5*Assumptions!$B$32)</f>
        <v>0.9713140335065356</v>
      </c>
      <c r="C14" s="21">
        <f>1/(1+Assumptions!$B$26)^(2-0.5*Assumptions!$B$32)</f>
        <v>0.9163871492984222</v>
      </c>
      <c r="D14" s="21">
        <f>1/(1+Assumptions!$B$26)^(3-0.5*Assumptions!$B$32)</f>
        <v>0.8645663281190907</v>
      </c>
      <c r="E14" s="21">
        <f>1/(1+Assumptions!$B$26)^(4-0.5*Assumptions!$B$32)</f>
        <v>0.8156759250602624</v>
      </c>
      <c r="F14" s="21">
        <f>1/(1+Assumptions!$B$26)^(5-0.5*Assumptions!$B$32)</f>
        <v>0.7695502277660626</v>
      </c>
    </row>
    <row r="15" spans="1:6" x14ac:dyDescent="0.25">
      <c r="A15" s="19" t="s">
        <v>51</v>
      </c>
      <c r="B15" s="20">
        <f>B13*B14</f>
        <v>12991013673.265293</v>
      </c>
      <c r="C15" s="20">
        <f>C13*C14</f>
        <v>13628080686.394428</v>
      </c>
      <c r="D15" s="20">
        <f>D13*D14</f>
        <v>14296388862.79418</v>
      </c>
      <c r="E15" s="20">
        <f>E13*E14</f>
        <v>14997470239.538181</v>
      </c>
      <c r="F15" s="20">
        <f>F13*F14</f>
        <v>15732931983.347908</v>
      </c>
    </row>
    <row r="17" spans="1:2" x14ac:dyDescent="0.25">
      <c r="A17" s="22" t="s">
        <v>52</v>
      </c>
      <c r="B17" s="23">
        <f>SUM(B15:F15)</f>
        <v>71645885445.34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20444321131.60338</v>
      </c>
    </row>
    <row r="5" spans="1:2" x14ac:dyDescent="0.25">
      <c r="A5" t="s">
        <v>56</v>
      </c>
      <c r="B5" s="18">
        <f>IF(Assumptions!$B$33=0,B4,B4-Forecast!F11-Forecast!F10-Forecast!F12)</f>
        <v>18694374234.23241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0.41709408903766976</v>
      </c>
    </row>
    <row r="7" spans="1:2" x14ac:dyDescent="0.25">
      <c r="A7" t="s">
        <v>58</v>
      </c>
      <c r="B7" s="18">
        <f>-MAX(Forecast!F9,0)*B6</f>
        <v>-7797312991.356452</v>
      </c>
    </row>
    <row r="8" spans="1:2" x14ac:dyDescent="0.25">
      <c r="A8" t="s">
        <v>59</v>
      </c>
      <c r="B8" s="18">
        <f>IF(OR(Assumptions!$B$33=0,Assumptions!B12&lt;=0),B5,MAX(B5+B7,0))</f>
        <v>10897061242.875957</v>
      </c>
    </row>
    <row r="9" spans="1:2" x14ac:dyDescent="0.25">
      <c r="A9" t="s">
        <v>60</v>
      </c>
      <c r="B9" s="18">
        <f>B8*(1+Assumptions!B12)/(Assumptions!B26-Assumptions!B12)</f>
        <v>319689832645.61444</v>
      </c>
    </row>
    <row r="10" spans="1:2" x14ac:dyDescent="0.25">
      <c r="A10" t="s">
        <v>61</v>
      </c>
      <c r="B10" s="18">
        <f>B9/(1+Assumptions!B26)^(5-0.5*Assumptions!B32)</f>
        <v>246017383526.92703</v>
      </c>
    </row>
    <row r="11" spans="1:2" x14ac:dyDescent="0.25">
      <c r="A11" t="s">
        <v>62</v>
      </c>
      <c r="B11" s="18">
        <f>Forecast!B17+B10</f>
        <v>317663268972.267</v>
      </c>
    </row>
    <row r="12" spans="1:2" x14ac:dyDescent="0.25">
      <c r="A12" t="s">
        <v>63</v>
      </c>
      <c r="B12" s="18">
        <f>-Assumptions!B30</f>
        <v>-209906000000</v>
      </c>
    </row>
    <row r="13" spans="1:2" x14ac:dyDescent="0.25">
      <c r="A13" t="s">
        <v>64</v>
      </c>
      <c r="B13" s="18">
        <f>B11+B12</f>
        <v>107757268972.26703</v>
      </c>
    </row>
    <row r="14" spans="1:2" x14ac:dyDescent="0.25">
      <c r="A14" s="19" t="s">
        <v>65</v>
      </c>
      <c r="B14" s="24">
        <f>B13/Assumptions!B31</f>
        <v>148.98684575995728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26684434781.5736</v>
      </c>
    </row>
    <row r="18" spans="1:2" x14ac:dyDescent="0.25">
      <c r="A18" t="s">
        <v>60</v>
      </c>
      <c r="B18" s="18">
        <f>B17*Assumptions!B13</f>
        <v>533688695631.47205</v>
      </c>
    </row>
    <row r="19" spans="1:2" x14ac:dyDescent="0.25">
      <c r="A19" t="s">
        <v>61</v>
      </c>
      <c r="B19" s="18">
        <f>B18/(1+Assumptions!B26)^(5-0.5*Assumptions!B32)</f>
        <v>410700257279.3722</v>
      </c>
    </row>
    <row r="20" spans="1:2" x14ac:dyDescent="0.25">
      <c r="A20" t="s">
        <v>62</v>
      </c>
      <c r="B20" s="18">
        <f>Forecast!B17+B19</f>
        <v>482346142724.71216</v>
      </c>
    </row>
    <row r="21" spans="1:2" x14ac:dyDescent="0.25">
      <c r="A21" t="s">
        <v>63</v>
      </c>
      <c r="B21" s="18">
        <f>-Assumptions!B30</f>
        <v>-209906000000</v>
      </c>
    </row>
    <row r="22" spans="1:2" x14ac:dyDescent="0.25">
      <c r="A22" t="s">
        <v>64</v>
      </c>
      <c r="B22" s="18">
        <f>B20+B21</f>
        <v>272440142724.71216</v>
      </c>
    </row>
    <row r="23" spans="1:2" x14ac:dyDescent="0.25">
      <c r="A23" s="19" t="s">
        <v>65</v>
      </c>
      <c r="B23" s="25">
        <f>B22/Assumptions!B31</f>
        <v>376.6799020620492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244.31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148.98684575995728</v>
      </c>
    </row>
    <row r="29" spans="1:2" x14ac:dyDescent="0.25">
      <c r="A29" s="19" t="s">
        <v>73</v>
      </c>
      <c r="B29" s="12">
        <f>B28/B26-1</f>
        <v>-0.39017295337907876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0.039939</v>
      </c>
      <c r="B5" s="31">
        <v>364.63695483735046</v>
      </c>
      <c r="C5" s="31">
        <v>367.3499542822635</v>
      </c>
      <c r="D5" s="31">
        <v>370.06295372717636</v>
      </c>
      <c r="E5" s="31">
        <v>372.77595317208943</v>
      </c>
      <c r="F5" s="31">
        <v>375.48895261700267</v>
      </c>
    </row>
    <row r="6" spans="1:6" x14ac:dyDescent="0.25">
      <c r="A6" s="30">
        <v>0.049939</v>
      </c>
      <c r="B6" s="31">
        <v>233.20691186635352</v>
      </c>
      <c r="C6" s="31">
        <v>235.2851922540924</v>
      </c>
      <c r="D6" s="31">
        <v>237.36347264183135</v>
      </c>
      <c r="E6" s="31">
        <v>239.44175302957024</v>
      </c>
      <c r="F6" s="31">
        <v>241.52003341730892</v>
      </c>
    </row>
    <row r="7" spans="1:6" x14ac:dyDescent="0.25">
      <c r="A7" s="30">
        <v>0.059939</v>
      </c>
      <c r="B7" s="31">
        <v>145.6647924887025</v>
      </c>
      <c r="C7" s="31">
        <v>147.3240311893278</v>
      </c>
      <c r="D7" s="32">
        <v>148.98326988995285</v>
      </c>
      <c r="E7" s="31">
        <v>150.64250859057813</v>
      </c>
      <c r="F7" s="31">
        <v>152.30174729120336</v>
      </c>
    </row>
    <row r="8" spans="1:6" x14ac:dyDescent="0.25">
      <c r="A8" s="30">
        <v>0.069939</v>
      </c>
      <c r="B8" s="31">
        <v>83.18434984534596</v>
      </c>
      <c r="C8" s="31">
        <v>84.5475112658511</v>
      </c>
      <c r="D8" s="31">
        <v>85.91067268635618</v>
      </c>
      <c r="E8" s="31">
        <v>87.2738341068613</v>
      </c>
      <c r="F8" s="31">
        <v>88.63699552736647</v>
      </c>
    </row>
    <row r="9" spans="1:6" x14ac:dyDescent="0.25">
      <c r="A9" s="30">
        <v>0.079939</v>
      </c>
      <c r="B9" s="31">
        <v>36.359645324372096</v>
      </c>
      <c r="C9" s="31">
        <v>37.50338467111661</v>
      </c>
      <c r="D9" s="31">
        <v>38.647124017861046</v>
      </c>
      <c r="E9" s="31">
        <v>39.79086336460556</v>
      </c>
      <c r="F9" s="31">
        <v>40.93460271135008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36099000000</v>
      </c>
      <c r="C5" s="18">
        <v>32041000000</v>
      </c>
      <c r="D5" s="18">
        <v>31115000000</v>
      </c>
      <c r="E5" s="18">
        <v>26259000000</v>
      </c>
      <c r="F5" s="8" t="s">
        <v>84</v>
      </c>
    </row>
    <row r="6" spans="1:6" x14ac:dyDescent="0.25">
      <c r="A6" t="s">
        <v>44</v>
      </c>
      <c r="B6" s="18">
        <v>11550000000</v>
      </c>
      <c r="C6" s="18">
        <v>9535000000</v>
      </c>
      <c r="D6" s="18">
        <v>5947000000</v>
      </c>
      <c r="E6" s="18">
        <v>17886000000</v>
      </c>
      <c r="F6" s="8" t="s">
        <v>85</v>
      </c>
    </row>
    <row r="7" spans="1:6" x14ac:dyDescent="0.25">
      <c r="A7" t="s">
        <v>86</v>
      </c>
      <c r="B7" s="18">
        <v>2180000000</v>
      </c>
      <c r="C7" s="18">
        <v>2110000000</v>
      </c>
      <c r="D7" s="18">
        <v>2092000000</v>
      </c>
      <c r="E7" s="18">
        <v>1480000000</v>
      </c>
      <c r="F7" s="8" t="s">
        <v>87</v>
      </c>
    </row>
    <row r="8" spans="1:6" x14ac:dyDescent="0.25">
      <c r="A8" t="s">
        <v>88</v>
      </c>
      <c r="B8" s="18">
        <v>1729000000</v>
      </c>
      <c r="C8" s="18">
        <v>1564000000</v>
      </c>
      <c r="D8" s="18">
        <v>1677000000</v>
      </c>
      <c r="E8" s="18">
        <v>1448000000</v>
      </c>
      <c r="F8" s="8" t="s">
        <v>89</v>
      </c>
    </row>
    <row r="9" spans="1:6" x14ac:dyDescent="0.25">
      <c r="A9" t="s">
        <v>90</v>
      </c>
      <c r="B9" s="18">
        <v>4010000000</v>
      </c>
      <c r="C9" s="18">
        <v>-13733000000</v>
      </c>
      <c r="D9" s="18">
        <v>-1957000000</v>
      </c>
      <c r="E9" s="18">
        <v>10596000000</v>
      </c>
      <c r="F9" s="8" t="s">
        <v>91</v>
      </c>
    </row>
    <row r="10" spans="1:6" x14ac:dyDescent="0.25">
      <c r="A10" t="s">
        <v>92</v>
      </c>
      <c r="B10" s="18">
        <v>280228000000</v>
      </c>
      <c r="C10" s="18">
        <v>265969000000</v>
      </c>
      <c r="D10" s="18">
        <v>248735000000</v>
      </c>
      <c r="E10" s="18">
        <v>222641000000</v>
      </c>
      <c r="F10" s="8" t="s">
        <v>93</v>
      </c>
    </row>
    <row r="11" spans="1:6" x14ac:dyDescent="0.25">
      <c r="A11" t="s">
        <v>94</v>
      </c>
      <c r="B11" s="18">
        <v>70322000000</v>
      </c>
      <c r="C11" s="18">
        <v>68738000000</v>
      </c>
      <c r="D11" s="18">
        <v>82043000000</v>
      </c>
      <c r="E11" s="18">
        <v>93200000000</v>
      </c>
      <c r="F11" s="8" t="s">
        <v>95</v>
      </c>
    </row>
    <row r="12" spans="1:6" x14ac:dyDescent="0.25">
      <c r="A12" t="s">
        <v>32</v>
      </c>
      <c r="B12" s="34">
        <v>723267000</v>
      </c>
      <c r="C12" s="34">
        <v>728535000</v>
      </c>
      <c r="D12" s="34">
        <v>710515000</v>
      </c>
      <c r="E12" s="34">
        <v>665707000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8" ht="38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2026-09-19T00:07:54Z</dcterms:modified>
</cp:coreProperties>
</file>