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<sst xmlns="http://schemas.openxmlformats.org/spreadsheetml/2006/main" count="115" uniqueCount="103">
  <si>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Banca Monte dei Paschi di Siena S.p.A. (BMPS.MI)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</si>
  <si>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</si>
  <si>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</si>
  <si>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</si>
  <si>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</si>
  <si>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</si>
  <si>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</si>
  <si>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</si>
  <si>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</si>
  <si>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</si>
  <si>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</si>
  <si>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</si>
  <si>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</si>
  <si>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</si>
  <si>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</si>
  <si>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</si>
  <si>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</si>
  <si>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</si>
  <si>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</si>
  <si>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</si>
  <si>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</si>
  <si>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</si>
  <si>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</si>
  <si>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</si>
  <si>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</si>
  <si>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</si>
  <si>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</si>
  <si>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</si>
  <si>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</si>
  <si>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</si>
  <si>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</si>
  <si>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</si>
  <si>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</si>
  <si>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</si>
  <si>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</si>
  <si>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</si>
  <si>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</si>
  <si>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</si>
  <si>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</si>
  <si>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</si>
  <si>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</si>
  <si>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</si>
  <si>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</si>
  <si>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</si>
  <si>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</si>
  <si>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</si>
  <si>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</si>
  <si>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</si>
  <si>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</si>
  <si>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</si>
  <si>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</si>
  <si>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</si>
  <si>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</si>
  <si>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</si>
  <si>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</si>
  <si>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</si>
  <si>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</si>
  <si>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</si>
  <si>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</si>
  <si>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</si>
  <si>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</si>
  <si>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</si>
  <si>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</si>
  <si>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</si>
  <si>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</si>
  <si>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</si>
  <si>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</si>
  <si>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</si>
  <si>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</si>
  <si>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</si>
  <si>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</si>
  <si>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</si>
  <si>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</si>
  <si>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</si>
  <si>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</si>
  <si>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</si>
  <si>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</si>
  <si>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</si>
  <si>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</si>
  <si>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</si>
  <si>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</si>
  <si>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</si>
  <si>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</si>
  <si>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</si>
  <si>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</si>
  <si>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</si>
  <si>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</si>
  <si>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</si>
  <si>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</si>
  <si>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</si>
  <si>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</si>
  <si>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</si>
  <si>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</si>
  <si>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</si>
  <si>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</si>
  <si>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</si>
  <si>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</si>
  <si>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</si>
  <si>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</si>
  <si>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2.20% of revenue against depreciation of 5.34%. A business cannot depreciate more than it invests indefinitely. Capex has been set to 5.34% of revenue so the forecast is not handed free growth. Override it if the reported figure is right.</t>
  </si>
  <si>
    <t>Note: Risk-free rate is an assumption: USD assumption - no free live source available for this market.</t>
  </si>
  <si>
    <t>Current EV/EBITDA of 39.6x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</si>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</sst>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0.14963786864132733</v>
      </c>
    </row>
    <row r="7" spans="1:2" x14ac:dyDescent="0.25">
      <c r="A7" t="s">
        <v>5</v>
      </c>
      <c r="B7" s="6">
        <v>0.22862551256664682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0.053356628400407544</v>
      </c>
    </row>
    <row r="10" spans="1:2" x14ac:dyDescent="0.25">
      <c r="A10" t="s">
        <v>8</v>
      </c>
      <c r="B10" s="6">
        <v>0.053356628400407544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0.07125585234419077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0.9544400000000001</v>
      </c>
      <c r="C19" s="8" t="s">
        <v>19</v>
      </c>
    </row>
    <row r="20" spans="1:2" x14ac:dyDescent="0.25">
      <c r="A20" t="s">
        <v>20</v>
      </c>
      <c r="B20" s="10">
        <f>B17+B19*B18</f>
        <v>0.10403860000000001</v>
      </c>
    </row>
    <row r="21" spans="1:3" x14ac:dyDescent="0.25">
      <c r="A21" t="s">
        <v>21</v>
      </c>
      <c r="B21" s="6">
        <v>0.06482849657446048</v>
      </c>
      <c r="C21" s="8" t="s">
        <v>22</v>
      </c>
    </row>
    <row r="22" spans="1:2" x14ac:dyDescent="0.25">
      <c r="A22" t="s">
        <v>23</v>
      </c>
      <c r="B22" s="11">
        <v>35743952896</v>
      </c>
    </row>
    <row r="23" spans="1:2" x14ac:dyDescent="0.25">
      <c r="A23" t="s">
        <v>24</v>
      </c>
      <c r="B23" s="11">
        <v>51769910000</v>
      </c>
    </row>
    <row r="24" spans="1:2" x14ac:dyDescent="0.25">
      <c r="A24" t="s">
        <v>25</v>
      </c>
      <c r="B24" s="10">
        <f>B22/(B22+B23)</f>
        <v>0.40843760877608054</v>
      </c>
    </row>
    <row r="25" spans="1:2" x14ac:dyDescent="0.25">
      <c r="A25" t="s">
        <v>26</v>
      </c>
      <c r="B25" s="10">
        <f>1-B24</f>
        <v>0.5915623912239194</v>
      </c>
    </row>
    <row r="26" spans="1:2" x14ac:dyDescent="0.25">
      <c r="A26" t="s">
        <v>27</v>
      </c>
      <c r="B26" s="12">
        <f>B24*B20+B25*B21*(1-B8)</f>
        <v>0.07125585234419077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5001743000</v>
      </c>
      <c r="C29" s="8" t="s">
        <v>30</v>
      </c>
    </row>
    <row r="30" spans="1:2" x14ac:dyDescent="0.25">
      <c r="A30" t="s">
        <v>31</v>
      </c>
      <c r="B30" s="11">
        <v>35390415000</v>
      </c>
    </row>
    <row r="31" spans="1:2" x14ac:dyDescent="0.25">
      <c r="A31" t="s">
        <v>32</v>
      </c>
      <c r="B31" s="13">
        <v>1766926787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0.14963786864132733</v>
      </c>
      <c r="C5" s="10">
        <f>Assumptions!B6</f>
        <v>0.14963786864132733</v>
      </c>
      <c r="D5" s="10">
        <f>Assumptions!B6</f>
        <v>0.14963786864132733</v>
      </c>
      <c r="E5" s="10">
        <f>Assumptions!B6</f>
        <v>0.14963786864132733</v>
      </c>
      <c r="F5" s="10">
        <f>Assumptions!B6</f>
        <v>0.14963786864132733</v>
      </c>
    </row>
    <row r="6" spans="1:6" x14ac:dyDescent="0.25">
      <c r="A6" t="s">
        <v>43</v>
      </c>
      <c r="B6" s="18">
        <f>Assumptions!B29*(1+B5)</f>
        <v>5750193162.011679</v>
      </c>
      <c r="C6" s="18">
        <f>B6*(1+C5)</f>
        <v>6610639811.051041</v>
      </c>
      <c r="D6" s="18">
        <f>C6*(1+D5)</f>
        <v>7599841862.732225</v>
      </c>
      <c r="E6" s="18">
        <f>D6*(1+E5)</f>
        <v>8737066001.082611</v>
      </c>
      <c r="F6" s="18">
        <f>E6*(1+F5)</f>
        <v>10044461935.663218</v>
      </c>
    </row>
    <row r="7" spans="1:6" x14ac:dyDescent="0.25">
      <c r="A7" t="s">
        <v>5</v>
      </c>
      <c r="B7" s="10">
        <f>Assumptions!B7</f>
        <v>0.22862551256664682</v>
      </c>
      <c r="C7" s="10">
        <f>Assumptions!B7</f>
        <v>0.22862551256664682</v>
      </c>
      <c r="D7" s="10">
        <f>Assumptions!B7</f>
        <v>0.22862551256664682</v>
      </c>
      <c r="E7" s="10">
        <f>Assumptions!B7</f>
        <v>0.22862551256664682</v>
      </c>
      <c r="F7" s="10">
        <f>Assumptions!B7</f>
        <v>0.22862551256664682</v>
      </c>
    </row>
    <row r="8" spans="1:6" x14ac:dyDescent="0.25">
      <c r="A8" t="s">
        <v>44</v>
      </c>
      <c r="B8" s="18">
        <f>B6*B7</f>
        <v>1314640859.0221477</v>
      </c>
      <c r="C8" s="18">
        <f>C6*C7</f>
        <v>1511360915.1950254</v>
      </c>
      <c r="D8" s="18">
        <f>D6*D7</f>
        <v>1737517741.292615</v>
      </c>
      <c r="E8" s="18">
        <f>E6*E7</f>
        <v>1997516192.8261352</v>
      </c>
      <c r="F8" s="18">
        <f>F6*F7</f>
        <v>2296420258.4971766</v>
      </c>
    </row>
    <row r="9" spans="1:6" x14ac:dyDescent="0.25">
      <c r="A9" t="s">
        <v>45</v>
      </c>
      <c r="B9" s="18">
        <f>B8*(1-Assumptions!B8)</f>
        <v>985980644.2666107</v>
      </c>
      <c r="C9" s="18">
        <f>C8*(1-Assumptions!B8)</f>
        <v>1133520686.396269</v>
      </c>
      <c r="D9" s="18">
        <f>D8*(1-Assumptions!B8)</f>
        <v>1303138305.9694612</v>
      </c>
      <c r="E9" s="18">
        <f>E8*(1-Assumptions!B8)</f>
        <v>1498137144.6196012</v>
      </c>
      <c r="F9" s="18">
        <f>F8*(1-Assumptions!B8)</f>
        <v>1722315193.8728824</v>
      </c>
    </row>
    <row r="10" spans="1:6" x14ac:dyDescent="0.25">
      <c r="A10" t="s">
        <v>46</v>
      </c>
      <c r="B10" s="18">
        <f>B6*Assumptions!B9</f>
        <v>306810919.7760216</v>
      </c>
      <c r="C10" s="18">
        <f>C6*Assumptions!B9</f>
        <v>352721451.8871907</v>
      </c>
      <c r="D10" s="18">
        <f>D6*Assumptions!B9</f>
        <v>405501938.1716644</v>
      </c>
      <c r="E10" s="18">
        <f>E6*Assumptions!B9</f>
        <v>466180383.9295996</v>
      </c>
      <c r="F10" s="18">
        <f>F6*Assumptions!B9</f>
        <v>535938622.9832206</v>
      </c>
    </row>
    <row r="11" spans="1:6" x14ac:dyDescent="0.25">
      <c r="A11" t="s">
        <v>47</v>
      </c>
      <c r="B11" s="18">
        <f>-B6*Assumptions!B10</f>
        <v>-306810919.7760216</v>
      </c>
      <c r="C11" s="18">
        <f>-C6*Assumptions!B10</f>
        <v>-352721451.8871907</v>
      </c>
      <c r="D11" s="18">
        <f>-D6*Assumptions!B10</f>
        <v>-405501938.1716644</v>
      </c>
      <c r="E11" s="18">
        <f>-E6*Assumptions!B10</f>
        <v>-466180383.9295996</v>
      </c>
      <c r="F11" s="18">
        <f>-F6*Assumptions!B10</f>
        <v>-535938622.9832206</v>
      </c>
    </row>
    <row r="12" spans="1:6" x14ac:dyDescent="0.25">
      <c r="A12" t="s">
        <v>48</v>
      </c>
      <c r="B12" s="18">
        <f>-(B6-Assumptions!B29)*Assumptions!B11</f>
        <v>-748450162.0116787</v>
      </c>
      <c r="C12" s="18">
        <f>-(C6-B6)*Assumptions!B11</f>
        <v>-860446649.039362</v>
      </c>
      <c r="D12" s="18">
        <f>-(D6-C6)*Assumptions!B11</f>
        <v>-989202051.6811848</v>
      </c>
      <c r="E12" s="18">
        <f>-(E6-D6)*Assumptions!B11</f>
        <v>-1137224138.3503857</v>
      </c>
      <c r="F12" s="18">
        <f>-(F6-E6)*Assumptions!B11</f>
        <v>-1307395934.5806065</v>
      </c>
    </row>
    <row r="13" spans="1:6" x14ac:dyDescent="0.25">
      <c r="A13" s="19" t="s">
        <v>49</v>
      </c>
      <c r="B13" s="20">
        <f>B9+B10+B11+B12</f>
        <v>237530482.25493205</v>
      </c>
      <c r="C13" s="20">
        <f>C9+C10+C11+C12</f>
        <v>273074037.3569069</v>
      </c>
      <c r="D13" s="20">
        <f>D9+D10+D11+D12</f>
        <v>313936254.28827643</v>
      </c>
      <c r="E13" s="20">
        <f>E9+E10+E11+E12</f>
        <v>360913006.2692156</v>
      </c>
      <c r="F13" s="20">
        <f>F9+F10+F11+F12</f>
        <v>414919259.2922759</v>
      </c>
    </row>
    <row r="14" spans="1:6" x14ac:dyDescent="0.25">
      <c r="A14" t="s">
        <v>50</v>
      </c>
      <c r="B14" s="21">
        <f>1/(1+Assumptions!$B$26)^(1-0.5*Assumptions!$B$32)</f>
        <v>0.9661696616563645</v>
      </c>
      <c r="C14" s="21">
        <f>1/(1+Assumptions!$B$26)^(2-0.5*Assumptions!$B$32)</f>
        <v>0.9019037418018581</v>
      </c>
      <c r="D14" s="21">
        <f>1/(1+Assumptions!$B$26)^(3-0.5*Assumptions!$B$32)</f>
        <v>0.8419125457548301</v>
      </c>
      <c r="E14" s="21">
        <f>1/(1+Assumptions!$B$26)^(4-0.5*Assumptions!$B$32)</f>
        <v>0.785911735196128</v>
      </c>
      <c r="F14" s="21">
        <f>1/(1+Assumptions!$B$26)^(5-0.5*Assumptions!$B$32)</f>
        <v>0.7336358849068085</v>
      </c>
    </row>
    <row r="15" spans="1:6" x14ac:dyDescent="0.25">
      <c r="A15" s="19" t="s">
        <v>51</v>
      </c>
      <c r="B15" s="20">
        <f>B13*B14</f>
        <v>229494745.6733208</v>
      </c>
      <c r="C15" s="20">
        <f>C13*C14</f>
        <v>246286496.0811347</v>
      </c>
      <c r="D15" s="20">
        <f>D13*D14</f>
        <v>264306871.0525785</v>
      </c>
      <c r="E15" s="20">
        <f>E13*E14</f>
        <v>283645767.01189023</v>
      </c>
      <c r="F15" s="20">
        <f>F13*F14</f>
        <v>304399657.9557664</v>
      </c>
    </row>
    <row r="17" spans="1:2" x14ac:dyDescent="0.25">
      <c r="A17" s="22" t="s">
        <v>52</v>
      </c>
      <c r="B17" s="23">
        <f>SUM(B15:F15)</f>
        <v>1328133537.7746906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414919259.2922759</v>
      </c>
    </row>
    <row r="5" spans="1:2" x14ac:dyDescent="0.25">
      <c r="A5" t="s">
        <v>56</v>
      </c>
      <c r="B5" s="18">
        <f>IF(Assumptions!$B$33=0,B4,B4-Forecast!F11-Forecast!F10-Forecast!F12)</f>
        <v>1722315193.8728824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0.35084837494106774</v>
      </c>
    </row>
    <row r="7" spans="1:2" x14ac:dyDescent="0.25">
      <c r="A7" t="s">
        <v>58</v>
      </c>
      <c r="B7" s="18">
        <f>-MAX(Forecast!F9,0)*B6</f>
        <v>-604271486.9066108</v>
      </c>
    </row>
    <row r="8" spans="1:2" x14ac:dyDescent="0.25">
      <c r="A8" t="s">
        <v>59</v>
      </c>
      <c r="B8" s="18">
        <f>IF(OR(Assumptions!$B$33=0,Assumptions!B12&lt;=0),B5,MAX(B5+B7,0))</f>
        <v>1118043706.9662714</v>
      </c>
    </row>
    <row r="9" spans="1:2" x14ac:dyDescent="0.25">
      <c r="A9" t="s">
        <v>60</v>
      </c>
      <c r="B9" s="18">
        <f>B8*(1+Assumptions!B12)/(Assumptions!B26-Assumptions!B12)</f>
        <v>24775130963.171032</v>
      </c>
    </row>
    <row r="10" spans="1:2" x14ac:dyDescent="0.25">
      <c r="A10" t="s">
        <v>61</v>
      </c>
      <c r="B10" s="18">
        <f>B9/(1+Assumptions!B26)^(5-0.5*Assumptions!B32)</f>
        <v>18175925127.848053</v>
      </c>
    </row>
    <row r="11" spans="1:2" x14ac:dyDescent="0.25">
      <c r="A11" t="s">
        <v>62</v>
      </c>
      <c r="B11" s="18">
        <f>Forecast!B17+B10</f>
        <v>19504058665.62274</v>
      </c>
    </row>
    <row r="12" spans="1:2" x14ac:dyDescent="0.25">
      <c r="A12" t="s">
        <v>63</v>
      </c>
      <c r="B12" s="18">
        <f>-Assumptions!B30</f>
        <v>-35390415000</v>
      </c>
    </row>
    <row r="13" spans="1:2" x14ac:dyDescent="0.25">
      <c r="A13" t="s">
        <v>64</v>
      </c>
      <c r="B13" s="18">
        <f>B11+B12</f>
        <v>-15886356334.377258</v>
      </c>
    </row>
    <row r="14" spans="1:2" x14ac:dyDescent="0.25">
      <c r="A14" s="19" t="s">
        <v>65</v>
      </c>
      <c r="B14" s="24">
        <f>B13/Assumptions!B31</f>
        <v>-8.990953361089804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2832358881.480397</v>
      </c>
    </row>
    <row r="18" spans="1:2" x14ac:dyDescent="0.25">
      <c r="A18" t="s">
        <v>60</v>
      </c>
      <c r="B18" s="18">
        <f>B17*Assumptions!B13</f>
        <v>56647177629.60794</v>
      </c>
    </row>
    <row r="19" spans="1:2" x14ac:dyDescent="0.25">
      <c r="A19" t="s">
        <v>61</v>
      </c>
      <c r="B19" s="18">
        <f>B18/(1+Assumptions!B26)^(5-0.5*Assumptions!B32)</f>
        <v>41558402287.77059</v>
      </c>
    </row>
    <row r="20" spans="1:2" x14ac:dyDescent="0.25">
      <c r="A20" t="s">
        <v>62</v>
      </c>
      <c r="B20" s="18">
        <f>Forecast!B17+B19</f>
        <v>42886535825.54528</v>
      </c>
    </row>
    <row r="21" spans="1:2" x14ac:dyDescent="0.25">
      <c r="A21" t="s">
        <v>63</v>
      </c>
      <c r="B21" s="18">
        <f>-Assumptions!B30</f>
        <v>-35390415000</v>
      </c>
    </row>
    <row r="22" spans="1:2" x14ac:dyDescent="0.25">
      <c r="A22" t="s">
        <v>64</v>
      </c>
      <c r="B22" s="18">
        <f>B20+B21</f>
        <v>7496120825.54528</v>
      </c>
    </row>
    <row r="23" spans="1:2" x14ac:dyDescent="0.25">
      <c r="A23" s="19" t="s">
        <v>65</v>
      </c>
      <c r="B23" s="25">
        <f>B22/Assumptions!B31</f>
        <v>4.242462608353269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11.764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-8.990953361089804</v>
      </c>
    </row>
    <row r="29" spans="1:2" x14ac:dyDescent="0.25">
      <c r="A29" s="19" t="s">
        <v>73</v>
      </c>
      <c r="B29" s="12">
        <f>B28/B26-1</f>
        <v>-1.7642768923061718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0.051256</v>
      </c>
      <c r="B5" s="31">
        <v>-3.8246412058380135</v>
      </c>
      <c r="C5" s="31">
        <v>-3.748708097614763</v>
      </c>
      <c r="D5" s="31">
        <v>-3.672774989391513</v>
      </c>
      <c r="E5" s="31">
        <v>-3.5968418811682583</v>
      </c>
      <c r="F5" s="31">
        <v>-3.5209087729450106</v>
      </c>
    </row>
    <row r="6" spans="1:6" x14ac:dyDescent="0.25">
      <c r="A6" s="30">
        <v>0.061256</v>
      </c>
      <c r="B6" s="31">
        <v>-6.898715774526173</v>
      </c>
      <c r="C6" s="31">
        <v>-6.837828752329934</v>
      </c>
      <c r="D6" s="31">
        <v>-6.7769417301336965</v>
      </c>
      <c r="E6" s="31">
        <v>-6.716054707937455</v>
      </c>
      <c r="F6" s="31">
        <v>-6.65516768574122</v>
      </c>
    </row>
    <row r="7" spans="1:6" x14ac:dyDescent="0.25">
      <c r="A7" s="30">
        <v>0.071256</v>
      </c>
      <c r="B7" s="31">
        <v>-9.091339547844209</v>
      </c>
      <c r="C7" s="31">
        <v>-9.041160439498308</v>
      </c>
      <c r="D7" s="32">
        <v>-8.990981331152414</v>
      </c>
      <c r="E7" s="31">
        <v>-8.940802222806512</v>
      </c>
      <c r="F7" s="31">
        <v>-8.890623114460615</v>
      </c>
    </row>
    <row r="8" spans="1:6" x14ac:dyDescent="0.25">
      <c r="A8" s="30">
        <v>0.081256</v>
      </c>
      <c r="B8" s="31">
        <v>-10.728904414122889</v>
      </c>
      <c r="C8" s="31">
        <v>-10.686702683983835</v>
      </c>
      <c r="D8" s="31">
        <v>-10.644500953844787</v>
      </c>
      <c r="E8" s="31">
        <v>-10.602299223705737</v>
      </c>
      <c r="F8" s="31">
        <v>-10.560097493566689</v>
      </c>
    </row>
    <row r="9" spans="1:6" x14ac:dyDescent="0.25">
      <c r="A9" s="30">
        <v>0.091256</v>
      </c>
      <c r="B9" s="31">
        <v>-11.994678499521958</v>
      </c>
      <c r="C9" s="31">
        <v>-11.958626218036978</v>
      </c>
      <c r="D9" s="31">
        <v>-11.922573936551998</v>
      </c>
      <c r="E9" s="31">
        <v>-11.886521655067018</v>
      </c>
      <c r="F9" s="31">
        <v>-11.850469373582037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5001743000</v>
      </c>
      <c r="C5" s="18">
        <v>4200436000</v>
      </c>
      <c r="D5" s="18">
        <v>3937559000</v>
      </c>
      <c r="E5" s="18">
        <v>3291836000</v>
      </c>
      <c r="F5" s="8" t="s">
        <v>84</v>
      </c>
    </row>
    <row r="6" spans="1:6" x14ac:dyDescent="0.25">
      <c r="A6" t="s">
        <v>44</v>
      </c>
      <c r="B6" s="18">
        <v>1588013000</v>
      </c>
      <c r="C6" s="18">
        <v>1464544000</v>
      </c>
      <c r="D6" s="18">
        <v>1701705000</v>
      </c>
      <c r="E6" s="18">
        <v>-605129000</v>
      </c>
      <c r="F6" s="8" t="s">
        <v>85</v>
      </c>
    </row>
    <row r="7" spans="1:6" x14ac:dyDescent="0.25">
      <c r="A7" t="s">
        <v>86</v>
      </c>
      <c r="B7" s="18">
        <v>210543000</v>
      </c>
      <c r="C7" s="18">
        <v>196705000</v>
      </c>
      <c r="D7" s="18">
        <v>228780000</v>
      </c>
      <c r="E7" s="18">
        <v>218581000</v>
      </c>
      <c r="F7" s="8" t="s">
        <v>87</v>
      </c>
    </row>
    <row r="8" spans="1:6" x14ac:dyDescent="0.25">
      <c r="A8" t="s">
        <v>88</v>
      </c>
      <c r="B8" s="18">
        <v>116909000</v>
      </c>
      <c r="C8" s="18">
        <v>68424000</v>
      </c>
      <c r="D8" s="18">
        <v>111438000</v>
      </c>
      <c r="E8" s="18">
        <v>65710000</v>
      </c>
      <c r="F8" s="8" t="s">
        <v>89</v>
      </c>
    </row>
    <row r="9" spans="1:6" x14ac:dyDescent="0.25">
      <c r="A9" t="s">
        <v>90</v>
      </c>
      <c r="B9" s="18">
        <v>865225000</v>
      </c>
      <c r="C9" s="18">
        <v>2808466000</v>
      </c>
      <c r="D9" s="18">
        <v>97294000</v>
      </c>
      <c r="E9" s="18">
        <v>-8613799000</v>
      </c>
      <c r="F9" s="8" t="s">
        <v>91</v>
      </c>
    </row>
    <row r="10" spans="1:6" x14ac:dyDescent="0.25">
      <c r="A10" t="s">
        <v>92</v>
      </c>
      <c r="B10" s="18">
        <v>51769910000</v>
      </c>
      <c r="C10" s="18">
        <v>12526969000</v>
      </c>
      <c r="D10" s="18">
        <v>12941704000</v>
      </c>
      <c r="E10" s="18">
        <v>10303201000</v>
      </c>
      <c r="F10" s="8" t="s">
        <v>93</v>
      </c>
    </row>
    <row r="11" spans="1:6" x14ac:dyDescent="0.25">
      <c r="A11" t="s">
        <v>94</v>
      </c>
      <c r="B11" s="18">
        <v>16379495000</v>
      </c>
      <c r="C11" s="18">
        <v>14400117000</v>
      </c>
      <c r="D11" s="18">
        <v>15579350000</v>
      </c>
      <c r="E11" s="18">
        <v>13598205000</v>
      </c>
      <c r="F11" s="8" t="s">
        <v>95</v>
      </c>
    </row>
    <row r="12" spans="1:6" x14ac:dyDescent="0.25">
      <c r="A12" t="s">
        <v>32</v>
      </c>
      <c r="B12" s="34">
        <v>1766926787</v>
      </c>
      <c r="C12" s="34">
        <v>1259393157</v>
      </c>
      <c r="D12" s="34">
        <v>1259689706</v>
      </c>
      <c r="E12" s="34">
        <v>209865416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