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<sst xmlns="http://schemas.openxmlformats.org/spreadsheetml/2006/main" count="119" uniqueCount="102">
  <si>
    <t>Bayerische Motoren Werke Aktiengesellschaft (BMW.DE)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</si>
  <si>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</si>
  <si>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</si>
  <si>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</si>
  <si>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</si>
  <si>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</si>
  <si>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</si>
  <si>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</si>
  <si>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</si>
  <si>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</si>
  <si>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</si>
  <si>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</si>
  <si>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</si>
  <si>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</si>
  <si>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</si>
  <si>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</si>
  <si>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</si>
  <si>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</si>
  <si>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</si>
  <si>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</si>
  <si>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</si>
  <si>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</si>
  <si>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</si>
  <si>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</si>
  <si>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</si>
  <si>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</si>
  <si>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</si>
  <si>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</si>
  <si>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</si>
  <si>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</si>
  <si>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</si>
  <si>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</si>
  <si>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</si>
  <si>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</si>
  <si>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</si>
  <si>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</si>
  <si>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</si>
  <si>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</si>
  <si>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</si>
  <si>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</si>
  <si>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</si>
  <si>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</si>
  <si>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</si>
  <si>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</si>
  <si>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</si>
  <si>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</si>
  <si>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</si>
  <si>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</si>
  <si>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</si>
  <si>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</si>
  <si>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</si>
  <si>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</si>
  <si>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</si>
  <si>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</si>
  <si>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</si>
  <si>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</si>
  <si>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</si>
  <si>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</si>
  <si>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</si>
  <si>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</si>
  <si>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</si>
  <si>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</si>
  <si>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</si>
  <si>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</si>
  <si>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</si>
  <si>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</si>
  <si>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</si>
  <si>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</si>
  <si>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</si>
  <si>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</si>
  <si>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</si>
  <si>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</si>
  <si>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</si>
  <si>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</si>
  <si>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</si>
  <si>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</si>
  <si>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</si>
  <si>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</si>
  <si>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</si>
  <si>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</si>
  <si>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</si>
  <si>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</si>
  <si>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</si>
  <si>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</si>
  <si>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</si>
  <si>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</si>
  <si>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</si>
  <si>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</si>
  <si>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</si>
  <si>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</si>
  <si>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</si>
  <si>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</si>
  <si>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</si>
  <si>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</si>
  <si>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</si>
  <si>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</si>
  <si>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</si>
  <si>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</si>
  <si>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</si>
  <si>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11.4x the market price. A gap that size is a modelling failure rather than a view - most often an unusable beta, a currency or units mismatch, or a cashflow base that does not represent the business. Read the figures below as diagnostics, not as a call.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</si>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</sst>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-0.021878540825735926</v>
      </c>
    </row>
    <row r="7" spans="1:2" x14ac:dyDescent="0.25">
      <c r="A7" t="s">
        <v>5</v>
      </c>
      <c r="B7" s="6">
        <v>0.09331731943571073</v>
      </c>
    </row>
    <row r="8" spans="1:2" x14ac:dyDescent="0.25">
      <c r="A8" t="s">
        <v>6</v>
      </c>
      <c r="B8" s="6">
        <v>0.2802544895999567</v>
      </c>
    </row>
    <row r="9" spans="1:2" x14ac:dyDescent="0.25">
      <c r="A9" t="s">
        <v>7</v>
      </c>
      <c r="B9" s="6">
        <v>0.06091543160151003</v>
      </c>
    </row>
    <row r="10" spans="1:2" x14ac:dyDescent="0.25">
      <c r="A10" t="s">
        <v>8</v>
      </c>
      <c r="B10" s="6">
        <v>0.07532626065215724</v>
      </c>
    </row>
    <row r="11" spans="1:2" x14ac:dyDescent="0.25">
      <c r="A11" t="s">
        <v>9</v>
      </c>
      <c r="B11" s="6">
        <v>-0.6727397469126392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5.526158539067103</v>
      </c>
    </row>
    <row r="14" spans="1:3" x14ac:dyDescent="0.25">
      <c r="A14" t="s">
        <v>12</v>
      </c>
      <c r="B14" s="6">
        <v>0.056190047745230225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0.84456</v>
      </c>
      <c r="C19" s="8" t="s">
        <v>19</v>
      </c>
    </row>
    <row r="20" spans="1:2" x14ac:dyDescent="0.25">
      <c r="A20" t="s">
        <v>20</v>
      </c>
      <c r="B20" s="10">
        <f>B17+B19*B18</f>
        <v>0.0766736</v>
      </c>
    </row>
    <row r="21" spans="1:3" x14ac:dyDescent="0.25">
      <c r="A21" t="s">
        <v>21</v>
      </c>
      <c r="B21" s="6">
        <v>0.026</v>
      </c>
      <c r="C21" s="8" t="s">
        <v>22</v>
      </c>
    </row>
    <row r="22" spans="1:2" x14ac:dyDescent="0.25">
      <c r="A22" t="s">
        <v>23</v>
      </c>
      <c r="B22" s="11">
        <v>36153958400</v>
      </c>
    </row>
    <row r="23" spans="1:2" x14ac:dyDescent="0.25">
      <c r="A23" t="s">
        <v>24</v>
      </c>
      <c r="B23" s="11">
        <v>88350000000</v>
      </c>
    </row>
    <row r="24" spans="1:2" x14ac:dyDescent="0.25">
      <c r="A24" t="s">
        <v>25</v>
      </c>
      <c r="B24" s="10">
        <f>B22/(B22+B23)</f>
        <v>0.29038400758188265</v>
      </c>
    </row>
    <row r="25" spans="1:2" x14ac:dyDescent="0.25">
      <c r="A25" t="s">
        <v>26</v>
      </c>
      <c r="B25" s="10">
        <f>1-B24</f>
        <v>0.7096159924181173</v>
      </c>
    </row>
    <row r="26" spans="1:2" x14ac:dyDescent="0.25">
      <c r="A26" t="s">
        <v>27</v>
      </c>
      <c r="B26" s="12">
        <f>B24*B20+B25*B21*(1-B8)</f>
        <v>0.03554410328465653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133453000000</v>
      </c>
      <c r="C29" s="8" t="s">
        <v>30</v>
      </c>
    </row>
    <row r="30" spans="1:2" x14ac:dyDescent="0.25">
      <c r="A30" t="s">
        <v>31</v>
      </c>
      <c r="B30" s="11">
        <v>67036000000</v>
      </c>
    </row>
    <row r="31" spans="1:2" x14ac:dyDescent="0.25">
      <c r="A31" t="s">
        <v>32</v>
      </c>
      <c r="B31" s="13">
        <v>613538999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-0.021878540825735926</v>
      </c>
      <c r="C5" s="10">
        <f>Assumptions!B6</f>
        <v>-0.021878540825735926</v>
      </c>
      <c r="D5" s="10">
        <f>Assumptions!B6</f>
        <v>-0.021878540825735926</v>
      </c>
      <c r="E5" s="10">
        <f>Assumptions!B6</f>
        <v>-0.021878540825735926</v>
      </c>
      <c r="F5" s="10">
        <f>Assumptions!B6</f>
        <v>-0.021878540825735926</v>
      </c>
    </row>
    <row r="6" spans="1:6" x14ac:dyDescent="0.25">
      <c r="A6" t="s">
        <v>43</v>
      </c>
      <c r="B6" s="18">
        <f>Assumptions!B29*(1+B5)</f>
        <v>130533243091.18306</v>
      </c>
      <c r="C6" s="18">
        <f>B6*(1+C5)</f>
        <v>127677366203.0969</v>
      </c>
      <c r="D6" s="18">
        <f>C6*(1+D5)</f>
        <v>124883971734.1</v>
      </c>
      <c r="E6" s="18">
        <f>D6*(1+E5)</f>
        <v>122151692660.03545</v>
      </c>
      <c r="F6" s="18">
        <f>E6*(1+F5)</f>
        <v>119479191865.24011</v>
      </c>
    </row>
    <row r="7" spans="1:6" x14ac:dyDescent="0.25">
      <c r="A7" t="s">
        <v>5</v>
      </c>
      <c r="B7" s="10">
        <f>Assumptions!B7</f>
        <v>0.09331731943571073</v>
      </c>
      <c r="C7" s="10">
        <f>Assumptions!B7</f>
        <v>0.09331731943571073</v>
      </c>
      <c r="D7" s="10">
        <f>Assumptions!B7</f>
        <v>0.09331731943571073</v>
      </c>
      <c r="E7" s="10">
        <f>Assumptions!B7</f>
        <v>0.09331731943571073</v>
      </c>
      <c r="F7" s="10">
        <f>Assumptions!B7</f>
        <v>0.09331731943571073</v>
      </c>
    </row>
    <row r="8" spans="1:6" x14ac:dyDescent="0.25">
      <c r="A8" t="s">
        <v>44</v>
      </c>
      <c r="B8" s="18">
        <f>B6*B7</f>
        <v>12181012342.51921</v>
      </c>
      <c r="C8" s="18">
        <f>C6*C7</f>
        <v>11914509566.68461</v>
      </c>
      <c r="D8" s="18">
        <f>D6*D7</f>
        <v>11653837482.711279</v>
      </c>
      <c r="E8" s="18">
        <f>E6*E7</f>
        <v>11398868523.569288</v>
      </c>
      <c r="F8" s="18">
        <f>F6*F7</f>
        <v>11149477913.209183</v>
      </c>
    </row>
    <row r="9" spans="1:6" x14ac:dyDescent="0.25">
      <c r="A9" t="s">
        <v>45</v>
      </c>
      <c r="B9" s="18">
        <f>B8*(1-Assumptions!B8)</f>
        <v>8767228945.655716</v>
      </c>
      <c r="C9" s="18">
        <f>C8*(1-Assumptions!B8)</f>
        <v>8575414769.239614</v>
      </c>
      <c r="D9" s="18">
        <f>D8*(1-Assumptions!B8)</f>
        <v>8387797207.113185</v>
      </c>
      <c r="E9" s="18">
        <f>E8*(1-Assumptions!B8)</f>
        <v>8204284443.479365</v>
      </c>
      <c r="F9" s="18">
        <f>F8*(1-Assumptions!B8)</f>
        <v>8024786671.336753</v>
      </c>
    </row>
    <row r="10" spans="1:6" x14ac:dyDescent="0.25">
      <c r="A10" t="s">
        <v>46</v>
      </c>
      <c r="B10" s="18">
        <f>B6*Assumptions!B9</f>
        <v>7951488841.244243</v>
      </c>
      <c r="C10" s="18">
        <f>C6*Assumptions!B9</f>
        <v>7777521868.005697</v>
      </c>
      <c r="D10" s="18">
        <f>D6*Assumptions!B9</f>
        <v>7607361038.293481</v>
      </c>
      <c r="E10" s="18">
        <f>E6*Assumptions!B9</f>
        <v>7440923079.241064</v>
      </c>
      <c r="F10" s="18">
        <f>F6*Assumptions!B9</f>
        <v>7278126539.870728</v>
      </c>
    </row>
    <row r="11" spans="1:6" x14ac:dyDescent="0.25">
      <c r="A11" t="s">
        <v>47</v>
      </c>
      <c r="B11" s="18">
        <f>-B6*Assumptions!B10</f>
        <v>-9832581092.857859</v>
      </c>
      <c r="C11" s="18">
        <f>-C6*Assumptions!B10</f>
        <v>-9617458565.995407</v>
      </c>
      <c r="D11" s="18">
        <f>-D6*Assumptions!B10</f>
        <v>-9407042606.119453</v>
      </c>
      <c r="E11" s="18">
        <f>-E6*Assumptions!B10</f>
        <v>-9201230240.412031</v>
      </c>
      <c r="F11" s="18">
        <f>-F6*Assumptions!B10</f>
        <v>-8999920748.950182</v>
      </c>
    </row>
    <row r="12" spans="1:6" x14ac:dyDescent="0.25">
      <c r="A12" t="s">
        <v>48</v>
      </c>
      <c r="B12" s="18">
        <f>-(B6-Assumptions!B29)*Assumptions!B11</f>
        <v>-1964236523.883938</v>
      </c>
      <c r="C12" s="18">
        <f>-(C6-B6)*Assumptions!B11</f>
        <v>-1921261894.9047432</v>
      </c>
      <c r="D12" s="18">
        <f>-(D6-C6)*Assumptions!B11</f>
        <v>-1879227488.100132</v>
      </c>
      <c r="E12" s="18">
        <f>-(E6-D6)*Assumptions!B11</f>
        <v>-1838112732.7808921</v>
      </c>
      <c r="F12" s="18">
        <f>-(F6-E6)*Assumptions!B11</f>
        <v>-1797897508.31444</v>
      </c>
    </row>
    <row r="13" spans="1:6" x14ac:dyDescent="0.25">
      <c r="A13" s="19" t="s">
        <v>49</v>
      </c>
      <c r="B13" s="20">
        <f>B9+B10+B11+B12</f>
        <v>4921900170.158163</v>
      </c>
      <c r="C13" s="20">
        <f>C9+C10+C11+C12</f>
        <v>4814216176.345161</v>
      </c>
      <c r="D13" s="20">
        <f>D9+D10+D11+D12</f>
        <v>4708888151.18708</v>
      </c>
      <c r="E13" s="20">
        <f>E9+E10+E11+E12</f>
        <v>4605864549.527505</v>
      </c>
      <c r="F13" s="20">
        <f>F9+F10+F11+F12</f>
        <v>4505094953.94286</v>
      </c>
    </row>
    <row r="14" spans="1:6" x14ac:dyDescent="0.25">
      <c r="A14" t="s">
        <v>50</v>
      </c>
      <c r="B14" s="21">
        <f>1/(1+Assumptions!$B$26)^(1-0.5*Assumptions!$B$32)</f>
        <v>0.9826881069389601</v>
      </c>
      <c r="C14" s="21">
        <f>1/(1+Assumptions!$B$26)^(2-0.5*Assumptions!$B$32)</f>
        <v>0.9489582373381861</v>
      </c>
      <c r="D14" s="21">
        <f>1/(1+Assumptions!$B$26)^(3-0.5*Assumptions!$B$32)</f>
        <v>0.9163861146311125</v>
      </c>
      <c r="E14" s="21">
        <f>1/(1+Assumptions!$B$26)^(4-0.5*Assumptions!$B$32)</f>
        <v>0.8849320002155533</v>
      </c>
      <c r="F14" s="21">
        <f>1/(1+Assumptions!$B$26)^(5-0.5*Assumptions!$B$32)</f>
        <v>0.8545575194804599</v>
      </c>
    </row>
    <row r="15" spans="1:6" x14ac:dyDescent="0.25">
      <c r="A15" s="19" t="s">
        <v>51</v>
      </c>
      <c r="B15" s="20">
        <f>B13*B14</f>
        <v>4836692760.755271</v>
      </c>
      <c r="C15" s="20">
        <f>C13*C14</f>
        <v>4568490096.869487</v>
      </c>
      <c r="D15" s="20">
        <f>D13*D14</f>
        <v>4315159717.098811</v>
      </c>
      <c r="E15" s="20">
        <f>E13*E14</f>
        <v>4075876928.535283</v>
      </c>
      <c r="F15" s="20">
        <f>F13*F14</f>
        <v>3849862768.865347</v>
      </c>
    </row>
    <row r="17" spans="1:2" x14ac:dyDescent="0.25">
      <c r="A17" s="22" t="s">
        <v>52</v>
      </c>
      <c r="B17" s="23">
        <f>SUM(B15:F15)</f>
        <v>21646082272.1242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4505094953.94286</v>
      </c>
    </row>
    <row r="5" spans="1:2" x14ac:dyDescent="0.25">
      <c r="A5" t="s">
        <v>56</v>
      </c>
      <c r="B5" s="18">
        <f>IF(Assumptions!$B$33=0,B4,B4-Forecast!F11-Forecast!F10-Forecast!F12)</f>
        <v>10185463396.952444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0.444918646685474</v>
      </c>
    </row>
    <row r="7" spans="1:2" x14ac:dyDescent="0.25">
      <c r="A7" t="s">
        <v>58</v>
      </c>
      <c r="B7" s="18">
        <f>-MAX(Forecast!F9,0)*B6</f>
        <v>-4531702590.436512</v>
      </c>
    </row>
    <row r="8" spans="1:2" x14ac:dyDescent="0.25">
      <c r="A8" t="s">
        <v>59</v>
      </c>
      <c r="B8" s="18">
        <f>IF(OR(Assumptions!$B$33=0,Assumptions!B12&lt;=0),B5,MAX(B5+B7,0))</f>
        <v>5653760806.515932</v>
      </c>
    </row>
    <row r="9" spans="1:2" x14ac:dyDescent="0.25">
      <c r="A9" t="s">
        <v>60</v>
      </c>
      <c r="B9" s="18">
        <f>B8*(1+Assumptions!B12)/(Assumptions!B26-Assumptions!B12)</f>
        <v>549606227313.0138</v>
      </c>
    </row>
    <row r="10" spans="1:2" x14ac:dyDescent="0.25">
      <c r="A10" t="s">
        <v>61</v>
      </c>
      <c r="B10" s="18">
        <f>B9/(1+Assumptions!B26)^(5-0.5*Assumptions!B32)</f>
        <v>469670134303.62286</v>
      </c>
    </row>
    <row r="11" spans="1:2" x14ac:dyDescent="0.25">
      <c r="A11" t="s">
        <v>62</v>
      </c>
      <c r="B11" s="18">
        <f>Forecast!B17+B10</f>
        <v>491316216575.7471</v>
      </c>
    </row>
    <row r="12" spans="1:2" x14ac:dyDescent="0.25">
      <c r="A12" t="s">
        <v>63</v>
      </c>
      <c r="B12" s="18">
        <f>-Assumptions!B30</f>
        <v>-67036000000</v>
      </c>
    </row>
    <row r="13" spans="1:2" x14ac:dyDescent="0.25">
      <c r="A13" t="s">
        <v>64</v>
      </c>
      <c r="B13" s="18">
        <f>B11+B12</f>
        <v>424280216575.7471</v>
      </c>
    </row>
    <row r="14" spans="1:2" x14ac:dyDescent="0.25">
      <c r="A14" s="19" t="s">
        <v>65</v>
      </c>
      <c r="B14" s="24">
        <f>B13/Assumptions!B31</f>
        <v>691.5293359790925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18427604453.07991</v>
      </c>
    </row>
    <row r="18" spans="1:2" x14ac:dyDescent="0.25">
      <c r="A18" t="s">
        <v>60</v>
      </c>
      <c r="B18" s="18">
        <f>B17*Assumptions!B13</f>
        <v>101833863702.9385</v>
      </c>
    </row>
    <row r="19" spans="1:2" x14ac:dyDescent="0.25">
      <c r="A19" t="s">
        <v>61</v>
      </c>
      <c r="B19" s="18">
        <f>B18/(1+Assumptions!B26)^(5-0.5*Assumptions!B32)</f>
        <v>87022893965.09438</v>
      </c>
    </row>
    <row r="20" spans="1:2" x14ac:dyDescent="0.25">
      <c r="A20" t="s">
        <v>62</v>
      </c>
      <c r="B20" s="18">
        <f>Forecast!B17+B19</f>
        <v>108668976237.21857</v>
      </c>
    </row>
    <row r="21" spans="1:2" x14ac:dyDescent="0.25">
      <c r="A21" t="s">
        <v>63</v>
      </c>
      <c r="B21" s="18">
        <f>-Assumptions!B30</f>
        <v>-67036000000</v>
      </c>
    </row>
    <row r="22" spans="1:2" x14ac:dyDescent="0.25">
      <c r="A22" t="s">
        <v>64</v>
      </c>
      <c r="B22" s="18">
        <f>B20+B21</f>
        <v>41632976237.21857</v>
      </c>
    </row>
    <row r="23" spans="1:2" x14ac:dyDescent="0.25">
      <c r="A23" s="19" t="s">
        <v>65</v>
      </c>
      <c r="B23" s="25">
        <f>B22/Assumptions!B31</f>
        <v>67.85709841603494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691.5293359790925</v>
      </c>
    </row>
    <row r="29" spans="1:2" x14ac:dyDescent="0.25">
      <c r="A29" s="19" t="s">
        <v>73</v>
      </c>
      <c r="B29" s="12">
        <f>B28/B26-1</f>
        <v>10.44916119170683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0.015544</v>
      </c>
      <c r="B5" s="31">
        <v>21111.047651264736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0.025544</v>
      </c>
      <c r="B6" s="31">
        <v>972.6232523617713</v>
      </c>
      <c r="C6" s="31">
        <v>1682.9563435528094</v>
      </c>
      <c r="D6" s="31">
        <v>15426.641718639405</v>
      </c>
      <c r="E6" s="31" t="s">
        <v>76</v>
      </c>
      <c r="F6" s="31" t="s">
        <v>76</v>
      </c>
    </row>
    <row r="7" spans="1:6" x14ac:dyDescent="0.25">
      <c r="A7" s="30">
        <v>0.035544</v>
      </c>
      <c r="B7" s="31">
        <v>439.8194490566726</v>
      </c>
      <c r="C7" s="31">
        <v>525.5996742949688</v>
      </c>
      <c r="D7" s="32">
        <v>691.5371865780979</v>
      </c>
      <c r="E7" s="31">
        <v>1154.5077625425122</v>
      </c>
      <c r="F7" s="31">
        <v>10104.761319870795</v>
      </c>
    </row>
    <row r="8" spans="1:6" x14ac:dyDescent="0.25">
      <c r="A8" s="30">
        <v>0.045544</v>
      </c>
      <c r="B8" s="31">
        <v>256.1796056728186</v>
      </c>
      <c r="C8" s="31">
        <v>274.63599987699706</v>
      </c>
      <c r="D8" s="31">
        <v>301.4877615355713</v>
      </c>
      <c r="E8" s="31">
        <v>344.83644184616963</v>
      </c>
      <c r="F8" s="31">
        <v>428.15072250268105</v>
      </c>
    </row>
    <row r="9" spans="1:6" x14ac:dyDescent="0.25">
      <c r="A9" s="30">
        <v>0.055544</v>
      </c>
      <c r="B9" s="31">
        <v>163.3308349352741</v>
      </c>
      <c r="C9" s="31">
        <v>165.03718630172503</v>
      </c>
      <c r="D9" s="31">
        <v>166.92298121209066</v>
      </c>
      <c r="E9" s="31">
        <v>169.0935928717703</v>
      </c>
      <c r="F9" s="31">
        <v>171.75697743534482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133453000000</v>
      </c>
      <c r="C5" s="18">
        <v>142380000000</v>
      </c>
      <c r="D5" s="18">
        <v>155498000000</v>
      </c>
      <c r="E5" s="18">
        <v>142610000000</v>
      </c>
      <c r="F5" s="8" t="s">
        <v>85</v>
      </c>
    </row>
    <row r="6" spans="1:6" x14ac:dyDescent="0.25">
      <c r="A6" t="s">
        <v>44</v>
      </c>
      <c r="B6" s="18">
        <v>9981000000</v>
      </c>
      <c r="C6" s="18">
        <v>11394000000</v>
      </c>
      <c r="D6" s="18">
        <v>18476000000</v>
      </c>
      <c r="E6" s="18">
        <v>14209000000</v>
      </c>
      <c r="F6" s="8" t="s">
        <v>86</v>
      </c>
    </row>
    <row r="7" spans="1:6" x14ac:dyDescent="0.25">
      <c r="A7" t="s">
        <v>87</v>
      </c>
      <c r="B7" s="18">
        <v>8692000000</v>
      </c>
      <c r="C7" s="18">
        <v>8650000000</v>
      </c>
      <c r="D7" s="18">
        <v>8974000000</v>
      </c>
      <c r="E7" s="18">
        <v>8566000000</v>
      </c>
      <c r="F7" s="8" t="s">
        <v>88</v>
      </c>
    </row>
    <row r="8" spans="1:6" x14ac:dyDescent="0.25">
      <c r="A8" t="s">
        <v>89</v>
      </c>
      <c r="B8" s="18">
        <v>10963000000</v>
      </c>
      <c r="C8" s="18">
        <v>12205000000</v>
      </c>
      <c r="D8" s="18">
        <v>10881000000</v>
      </c>
      <c r="E8" s="18">
        <v>9050000000</v>
      </c>
      <c r="F8" s="8" t="s">
        <v>90</v>
      </c>
    </row>
    <row r="9" spans="1:6" x14ac:dyDescent="0.25">
      <c r="A9" t="s">
        <v>91</v>
      </c>
      <c r="B9" s="18">
        <v>8939000000</v>
      </c>
      <c r="C9" s="18">
        <v>8825000000</v>
      </c>
      <c r="D9" s="18">
        <v>3985000000</v>
      </c>
      <c r="E9" s="18">
        <v>-3005000000</v>
      </c>
      <c r="F9" s="8" t="s">
        <v>92</v>
      </c>
    </row>
    <row r="10" spans="1:6" x14ac:dyDescent="0.25">
      <c r="A10" t="s">
        <v>93</v>
      </c>
      <c r="B10" s="18">
        <v>88350000000</v>
      </c>
      <c r="C10" s="18">
        <v>85504000000</v>
      </c>
      <c r="D10" s="18">
        <v>71548000000</v>
      </c>
      <c r="E10" s="18">
        <v>71561000000</v>
      </c>
      <c r="F10" s="8" t="s">
        <v>94</v>
      </c>
    </row>
    <row r="11" spans="1:6" x14ac:dyDescent="0.25">
      <c r="A11" t="s">
        <v>95</v>
      </c>
      <c r="B11" s="18">
        <v>21314000000</v>
      </c>
      <c r="C11" s="18">
        <v>21852000000</v>
      </c>
      <c r="D11" s="18">
        <v>21458000000</v>
      </c>
      <c r="E11" s="18">
        <v>22034000000</v>
      </c>
      <c r="F11" s="8" t="s">
        <v>96</v>
      </c>
    </row>
    <row r="12" spans="1:6" x14ac:dyDescent="0.25">
      <c r="A12" t="s">
        <v>32</v>
      </c>
      <c r="B12" s="34">
        <v>613538999</v>
      </c>
      <c r="C12" s="34">
        <v>627340243</v>
      </c>
      <c r="D12" s="34">
        <v>638717557</v>
      </c>
      <c r="E12" s="34">
        <v>656959643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2026-09-19T00:09:43Z</dcterms:modified>
</cp:coreProperties>
</file>