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<sst xmlns="http://schemas.openxmlformats.org/spreadsheetml/2006/main" count="112" uniqueCount="100">
  <si>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Bristol-Myers Squibb Company (BMY)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</si>
  <si>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</si>
  <si>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</si>
  <si>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</si>
  <si>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</si>
  <si>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</si>
  <si>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</si>
  <si>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</si>
  <si>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</si>
  <si>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</si>
  <si>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</si>
  <si>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</si>
  <si>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</si>
  <si>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</si>
  <si>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</si>
  <si>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</si>
  <si>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</si>
  <si>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</si>
  <si>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</si>
  <si>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</si>
  <si>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</si>
  <si>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</si>
  <si>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</si>
  <si>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</si>
  <si>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</si>
  <si>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</si>
  <si>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</si>
  <si>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</si>
  <si>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</si>
  <si>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</si>
  <si>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</si>
  <si>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</si>
  <si>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</si>
  <si>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</si>
  <si>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</si>
  <si>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</si>
  <si>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</si>
  <si>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</si>
  <si>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</si>
  <si>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</si>
  <si>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</si>
  <si>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</si>
  <si>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</si>
  <si>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</si>
  <si>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</si>
  <si>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</si>
  <si>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</si>
  <si>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</si>
  <si>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</si>
  <si>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</si>
  <si>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</si>
  <si>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</si>
  <si>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</si>
  <si>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</si>
  <si>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</si>
  <si>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</si>
  <si>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</si>
  <si>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</si>
  <si>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</si>
  <si>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</si>
  <si>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</si>
  <si>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</si>
  <si>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</si>
  <si>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</si>
  <si>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</si>
  <si>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</si>
  <si>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</si>
  <si>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</si>
  <si>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</si>
  <si>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</si>
  <si>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</si>
  <si>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</si>
  <si>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</si>
  <si>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</si>
  <si>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</si>
  <si>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</si>
  <si>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</si>
  <si>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</si>
  <si>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</si>
  <si>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</si>
  <si>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</si>
  <si>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</si>
  <si>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</si>
  <si>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</si>
  <si>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</si>
  <si>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</si>
  <si>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</si>
  <si>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</si>
  <si>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</si>
  <si>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</si>
  <si>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</si>
  <si>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</si>
  <si>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</si>
  <si>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</si>
  <si>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</si>
  <si>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</si>
  <si>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</si>
  <si>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</si>
  <si>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2.60% of revenue against depreciation and amortisation of 18.04%. A business cannot depreciate more than it invests indefinitely. Capex has been set to 18.04%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</si>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</sst>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0.01449177656319045</v>
      </c>
    </row>
    <row r="7" spans="1:2" x14ac:dyDescent="0.25">
      <c r="A7" t="s">
        <v>5</v>
      </c>
      <c r="B7" s="6">
        <v>0.1964905074665221</v>
      </c>
    </row>
    <row r="8" spans="1:2" x14ac:dyDescent="0.25">
      <c r="A8" t="s">
        <v>6</v>
      </c>
      <c r="B8" s="6">
        <v>0.17736289381563594</v>
      </c>
    </row>
    <row r="9" spans="1:2" x14ac:dyDescent="0.25">
      <c r="A9" t="s">
        <v>7</v>
      </c>
      <c r="B9" s="6">
        <v>0.1803659865759499</v>
      </c>
    </row>
    <row r="10" spans="1:2" x14ac:dyDescent="0.25">
      <c r="A10" t="s">
        <v>8</v>
      </c>
      <c r="B10" s="6">
        <v>0.1803659865759499</v>
      </c>
    </row>
    <row r="11" spans="1:2" x14ac:dyDescent="0.25">
      <c r="A11" t="s">
        <v>9</v>
      </c>
      <c r="B11" s="6">
        <v>-1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9.319401662249788</v>
      </c>
    </row>
    <row r="14" spans="1:3" x14ac:dyDescent="0.25">
      <c r="A14" t="s">
        <v>12</v>
      </c>
      <c r="B14" s="6">
        <v>0.10191425926438002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0.48208999999999996</v>
      </c>
      <c r="C19" s="8" t="s">
        <v>19</v>
      </c>
    </row>
    <row r="20" spans="1:2" x14ac:dyDescent="0.25">
      <c r="A20" t="s">
        <v>20</v>
      </c>
      <c r="B20" s="10">
        <f>B17+B19*B18</f>
        <v>0.07649495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128813588480</v>
      </c>
    </row>
    <row r="23" spans="1:2" x14ac:dyDescent="0.25">
      <c r="A23" t="s">
        <v>24</v>
      </c>
      <c r="B23" s="11">
        <v>47139000000</v>
      </c>
    </row>
    <row r="24" spans="1:2" x14ac:dyDescent="0.25">
      <c r="A24" t="s">
        <v>25</v>
      </c>
      <c r="B24" s="10">
        <f>B22/(B22+B23)</f>
        <v>0.732092602858422</v>
      </c>
    </row>
    <row r="25" spans="1:2" x14ac:dyDescent="0.25">
      <c r="A25" t="s">
        <v>26</v>
      </c>
      <c r="B25" s="10">
        <f>1-B24</f>
        <v>0.26790739714157796</v>
      </c>
    </row>
    <row r="26" spans="1:2" x14ac:dyDescent="0.25">
      <c r="A26" t="s">
        <v>27</v>
      </c>
      <c r="B26" s="12">
        <f>B24*B20+B25*B21*(1-B8)</f>
        <v>0.0670165075352033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48195000000</v>
      </c>
      <c r="C29" s="8" t="s">
        <v>30</v>
      </c>
    </row>
    <row r="30" spans="1:2" x14ac:dyDescent="0.25">
      <c r="A30" t="s">
        <v>31</v>
      </c>
      <c r="B30" s="11">
        <v>36466000000</v>
      </c>
    </row>
    <row r="31" spans="1:2" x14ac:dyDescent="0.25">
      <c r="A31" t="s">
        <v>32</v>
      </c>
      <c r="B31" s="13">
        <v>2039000000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0.01449177656319045</v>
      </c>
      <c r="C5" s="10">
        <f>Assumptions!B6</f>
        <v>0.01449177656319045</v>
      </c>
      <c r="D5" s="10">
        <f>Assumptions!B6</f>
        <v>0.01449177656319045</v>
      </c>
      <c r="E5" s="10">
        <f>Assumptions!B6</f>
        <v>0.01449177656319045</v>
      </c>
      <c r="F5" s="10">
        <f>Assumptions!B6</f>
        <v>0.01449177656319045</v>
      </c>
    </row>
    <row r="6" spans="1:6" x14ac:dyDescent="0.25">
      <c r="A6" t="s">
        <v>43</v>
      </c>
      <c r="B6" s="18">
        <f>Assumptions!B29*(1+B5)</f>
        <v>48893431171.46297</v>
      </c>
      <c r="C6" s="18">
        <f>B6*(1+C5)</f>
        <v>49601983851.40754</v>
      </c>
      <c r="D6" s="18">
        <f>C6*(1+D5)</f>
        <v>50320804718.47312</v>
      </c>
      <c r="E6" s="18">
        <f>D6*(1+E5)</f>
        <v>51050042576.933174</v>
      </c>
      <c r="F6" s="18">
        <f>E6*(1+F5)</f>
        <v>51789848387.49945</v>
      </c>
    </row>
    <row r="7" spans="1:6" x14ac:dyDescent="0.25">
      <c r="A7" t="s">
        <v>5</v>
      </c>
      <c r="B7" s="10">
        <f>Assumptions!B7</f>
        <v>0.1964905074665221</v>
      </c>
      <c r="C7" s="10">
        <f>Assumptions!B7</f>
        <v>0.1964905074665221</v>
      </c>
      <c r="D7" s="10">
        <f>Assumptions!B7</f>
        <v>0.1964905074665221</v>
      </c>
      <c r="E7" s="10">
        <f>Assumptions!B7</f>
        <v>0.1964905074665221</v>
      </c>
      <c r="F7" s="10">
        <f>Assumptions!B7</f>
        <v>0.1964905074665221</v>
      </c>
    </row>
    <row r="8" spans="1:6" x14ac:dyDescent="0.25">
      <c r="A8" t="s">
        <v>44</v>
      </c>
      <c r="B8" s="18">
        <f>B6*B7</f>
        <v>9607095102.660229</v>
      </c>
      <c r="C8" s="18">
        <f>C6*C7</f>
        <v>9746318978.309301</v>
      </c>
      <c r="D8" s="18">
        <f>D6*D7</f>
        <v>9887560455.256544</v>
      </c>
      <c r="E8" s="18">
        <f>E6*E7</f>
        <v>10030848772.12916</v>
      </c>
      <c r="F8" s="18">
        <f>F6*F7</f>
        <v>10176213591.274008</v>
      </c>
    </row>
    <row r="9" spans="1:6" x14ac:dyDescent="0.25">
      <c r="A9" t="s">
        <v>45</v>
      </c>
      <c r="B9" s="18">
        <f>B8*(1-Assumptions!B8)</f>
        <v>7903152914.090386</v>
      </c>
      <c r="C9" s="18">
        <f>C8*(1-Assumptions!B8)</f>
        <v>8017683640.266111</v>
      </c>
      <c r="D9" s="18">
        <f>D8*(1-Assumptions!B8)</f>
        <v>8133874120.135197</v>
      </c>
      <c r="E9" s="18">
        <f>E8*(1-Assumptions!B8)</f>
        <v>8251748406.477313</v>
      </c>
      <c r="F9" s="18">
        <f>F8*(1-Assumptions!B8)</f>
        <v>8371330900.639645</v>
      </c>
    </row>
    <row r="10" spans="1:6" x14ac:dyDescent="0.25">
      <c r="A10" t="s">
        <v>46</v>
      </c>
      <c r="B10" s="18">
        <f>B6*Assumptions!B9</f>
        <v>8818711950.32422</v>
      </c>
      <c r="C10" s="18">
        <f>C6*Assumptions!B9</f>
        <v>8946510753.483456</v>
      </c>
      <c r="D10" s="18">
        <f>D6*Assumptions!B9</f>
        <v>9076161588.34312</v>
      </c>
      <c r="E10" s="18">
        <f>E6*Assumptions!B9</f>
        <v>9207691294.1328</v>
      </c>
      <c r="F10" s="18">
        <f>F6*Assumptions!B9</f>
        <v>9341127099.030207</v>
      </c>
    </row>
    <row r="11" spans="1:6" x14ac:dyDescent="0.25">
      <c r="A11" t="s">
        <v>47</v>
      </c>
      <c r="B11" s="18">
        <f>-B6*Assumptions!B10</f>
        <v>-8818711950.32422</v>
      </c>
      <c r="C11" s="18">
        <f>-C6*Assumptions!B10</f>
        <v>-8946510753.483456</v>
      </c>
      <c r="D11" s="18">
        <f>-D6*Assumptions!B10</f>
        <v>-9076161588.34312</v>
      </c>
      <c r="E11" s="18">
        <f>-E6*Assumptions!B10</f>
        <v>-9207691294.1328</v>
      </c>
      <c r="F11" s="18">
        <f>-F6*Assumptions!B10</f>
        <v>-9341127099.030207</v>
      </c>
    </row>
    <row r="12" spans="1:6" x14ac:dyDescent="0.25">
      <c r="A12" t="s">
        <v>48</v>
      </c>
      <c r="B12" s="18">
        <f>-(B6-Assumptions!B29)*Assumptions!B11</f>
        <v>698431171.4629669</v>
      </c>
      <c r="C12" s="18">
        <f>-(C6-B6)*Assumptions!B11</f>
        <v>708552679.9445724</v>
      </c>
      <c r="D12" s="18">
        <f>-(D6-C6)*Assumptions!B11</f>
        <v>718820867.0655823</v>
      </c>
      <c r="E12" s="18">
        <f>-(E6-D6)*Assumptions!B11</f>
        <v>729237858.4600525</v>
      </c>
      <c r="F12" s="18">
        <f>-(F6-E6)*Assumptions!B11</f>
        <v>739805810.5662766</v>
      </c>
    </row>
    <row r="13" spans="1:6" x14ac:dyDescent="0.25">
      <c r="A13" s="19" t="s">
        <v>49</v>
      </c>
      <c r="B13" s="20">
        <f>B9+B10+B11+B12</f>
        <v>8601584085.553354</v>
      </c>
      <c r="C13" s="20">
        <f>C9+C10+C11+C12</f>
        <v>8726236320.210684</v>
      </c>
      <c r="D13" s="20">
        <f>D9+D10+D11+D12</f>
        <v>8852694987.200779</v>
      </c>
      <c r="E13" s="20">
        <f>E9+E10+E11+E12</f>
        <v>8980986264.937365</v>
      </c>
      <c r="F13" s="20">
        <f>F9+F10+F11+F12</f>
        <v>9111136711.205923</v>
      </c>
    </row>
    <row r="14" spans="1:6" x14ac:dyDescent="0.25">
      <c r="A14" t="s">
        <v>50</v>
      </c>
      <c r="B14" s="21">
        <f>1/(1+Assumptions!$B$26)^(1-0.5*Assumptions!$B$32)</f>
        <v>0.9680870949900118</v>
      </c>
      <c r="C14" s="21">
        <f>1/(1+Assumptions!$B$26)^(2-0.5*Assumptions!$B$32)</f>
        <v>0.9072840843168233</v>
      </c>
      <c r="D14" s="21">
        <f>1/(1+Assumptions!$B$26)^(3-0.5*Assumptions!$B$32)</f>
        <v>0.8502999512281584</v>
      </c>
      <c r="E14" s="21">
        <f>1/(1+Assumptions!$B$26)^(4-0.5*Assumptions!$B$32)</f>
        <v>0.7968948420417056</v>
      </c>
      <c r="F14" s="21">
        <f>1/(1+Assumptions!$B$26)^(5-0.5*Assumptions!$B$32)</f>
        <v>0.7468439676556871</v>
      </c>
    </row>
    <row r="15" spans="1:6" x14ac:dyDescent="0.25">
      <c r="A15" s="19" t="s">
        <v>51</v>
      </c>
      <c r="B15" s="20">
        <f>B13*B14</f>
        <v>8327082549.695663</v>
      </c>
      <c r="C15" s="20">
        <f>C13*C14</f>
        <v>7917175329.314556</v>
      </c>
      <c r="D15" s="20">
        <f>D13*D14</f>
        <v>7527446115.854585</v>
      </c>
      <c r="E15" s="20">
        <f>E13*E14</f>
        <v>7156901630.975988</v>
      </c>
      <c r="F15" s="20">
        <f>F13*F14</f>
        <v>6804597491.25042</v>
      </c>
    </row>
    <row r="17" spans="1:2" x14ac:dyDescent="0.25">
      <c r="A17" s="22" t="s">
        <v>52</v>
      </c>
      <c r="B17" s="23">
        <f>SUM(B15:F15)</f>
        <v>37733203117.09121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9111136711.205923</v>
      </c>
    </row>
    <row r="5" spans="1:2" x14ac:dyDescent="0.25">
      <c r="A5" t="s">
        <v>56</v>
      </c>
      <c r="B5" s="18">
        <f>IF(Assumptions!$B$33=0,B4,B4-Forecast!F11-Forecast!F10-Forecast!F12)</f>
        <v>8371330900.639645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0.24530424084373179</v>
      </c>
    </row>
    <row r="7" spans="1:2" x14ac:dyDescent="0.25">
      <c r="A7" t="s">
        <v>58</v>
      </c>
      <c r="B7" s="18">
        <f>-MAX(Forecast!F9,0)*B6</f>
        <v>-2053522971.4330814</v>
      </c>
    </row>
    <row r="8" spans="1:2" x14ac:dyDescent="0.25">
      <c r="A8" t="s">
        <v>59</v>
      </c>
      <c r="B8" s="18">
        <f>IF(OR(Assumptions!$B$33=0,Assumptions!B12&lt;=0),B5,MAX(B5+B7,0))</f>
        <v>6317807929.206563</v>
      </c>
    </row>
    <row r="9" spans="1:2" x14ac:dyDescent="0.25">
      <c r="A9" t="s">
        <v>60</v>
      </c>
      <c r="B9" s="18">
        <f>B8*(1+Assumptions!B12)/(Assumptions!B26-Assumptions!B12)</f>
        <v>154124021898.085</v>
      </c>
    </row>
    <row r="10" spans="1:2" x14ac:dyDescent="0.25">
      <c r="A10" t="s">
        <v>61</v>
      </c>
      <c r="B10" s="18">
        <f>B9/(1+Assumptions!B26)^(5-0.5*Assumptions!B32)</f>
        <v>115106596025.41779</v>
      </c>
    </row>
    <row r="11" spans="1:2" x14ac:dyDescent="0.25">
      <c r="A11" t="s">
        <v>62</v>
      </c>
      <c r="B11" s="18">
        <f>Forecast!B17+B10</f>
        <v>152839799142.509</v>
      </c>
    </row>
    <row r="12" spans="1:2" x14ac:dyDescent="0.25">
      <c r="A12" t="s">
        <v>63</v>
      </c>
      <c r="B12" s="18">
        <f>-Assumptions!B30</f>
        <v>-36466000000</v>
      </c>
    </row>
    <row r="13" spans="1:2" x14ac:dyDescent="0.25">
      <c r="A13" t="s">
        <v>64</v>
      </c>
      <c r="B13" s="18">
        <f>B11+B12</f>
        <v>116373799142.509</v>
      </c>
    </row>
    <row r="14" spans="1:2" x14ac:dyDescent="0.25">
      <c r="A14" s="19" t="s">
        <v>65</v>
      </c>
      <c r="B14" s="24">
        <f>B13/Assumptions!B31</f>
        <v>57.07395740191712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19517340690.304214</v>
      </c>
    </row>
    <row r="18" spans="1:2" x14ac:dyDescent="0.25">
      <c r="A18" t="s">
        <v>60</v>
      </c>
      <c r="B18" s="18">
        <f>B17*Assumptions!B13</f>
        <v>181889937271.91653</v>
      </c>
    </row>
    <row r="19" spans="1:2" x14ac:dyDescent="0.25">
      <c r="A19" t="s">
        <v>61</v>
      </c>
      <c r="B19" s="18">
        <f>B18/(1+Assumptions!B26)^(5-0.5*Assumptions!B32)</f>
        <v>135843402428.80219</v>
      </c>
    </row>
    <row r="20" spans="1:2" x14ac:dyDescent="0.25">
      <c r="A20" t="s">
        <v>62</v>
      </c>
      <c r="B20" s="18">
        <f>Forecast!B17+B19</f>
        <v>173576605545.8934</v>
      </c>
    </row>
    <row r="21" spans="1:2" x14ac:dyDescent="0.25">
      <c r="A21" t="s">
        <v>63</v>
      </c>
      <c r="B21" s="18">
        <f>-Assumptions!B30</f>
        <v>-36466000000</v>
      </c>
    </row>
    <row r="22" spans="1:2" x14ac:dyDescent="0.25">
      <c r="A22" t="s">
        <v>64</v>
      </c>
      <c r="B22" s="18">
        <f>B20+B21</f>
        <v>137110605545.8934</v>
      </c>
    </row>
    <row r="23" spans="1:2" x14ac:dyDescent="0.25">
      <c r="A23" s="19" t="s">
        <v>65</v>
      </c>
      <c r="B23" s="25">
        <f>B22/Assumptions!B31</f>
        <v>67.24404391657352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63.06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57.07395740191712</v>
      </c>
    </row>
    <row r="29" spans="1:2" x14ac:dyDescent="0.25">
      <c r="A29" s="19" t="s">
        <v>73</v>
      </c>
      <c r="B29" s="12">
        <f>B28/B26-1</f>
        <v>-0.09492614332513294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0.047017</v>
      </c>
      <c r="B5" s="31">
        <v>91.7544038693774</v>
      </c>
      <c r="C5" s="31">
        <v>102.80267352871508</v>
      </c>
      <c r="D5" s="31">
        <v>118.79460815400802</v>
      </c>
      <c r="E5" s="31">
        <v>144.08790736853476</v>
      </c>
      <c r="F5" s="31">
        <v>190.29282904352</v>
      </c>
    </row>
    <row r="6" spans="1:6" x14ac:dyDescent="0.25">
      <c r="A6" s="30">
        <v>0.057017</v>
      </c>
      <c r="B6" s="31">
        <v>66.94899711704417</v>
      </c>
      <c r="C6" s="31">
        <v>71.89465580499638</v>
      </c>
      <c r="D6" s="31">
        <v>78.33599339540835</v>
      </c>
      <c r="E6" s="31">
        <v>87.10341976120822</v>
      </c>
      <c r="F6" s="31">
        <v>99.78167994626281</v>
      </c>
    </row>
    <row r="7" spans="1:6" x14ac:dyDescent="0.25">
      <c r="A7" s="30">
        <v>0.067017</v>
      </c>
      <c r="B7" s="31">
        <v>51.64647005002603</v>
      </c>
      <c r="C7" s="31">
        <v>54.08726244101792</v>
      </c>
      <c r="D7" s="32">
        <v>57.073158008451706</v>
      </c>
      <c r="E7" s="31">
        <v>60.82504303826711</v>
      </c>
      <c r="F7" s="31">
        <v>65.70178444290822</v>
      </c>
    </row>
    <row r="8" spans="1:6" x14ac:dyDescent="0.25">
      <c r="A8" s="30">
        <v>0.077017</v>
      </c>
      <c r="B8" s="31">
        <v>41.25156368933601</v>
      </c>
      <c r="C8" s="31">
        <v>42.48969234112587</v>
      </c>
      <c r="D8" s="31">
        <v>43.938113841851504</v>
      </c>
      <c r="E8" s="31">
        <v>45.66391866376846</v>
      </c>
      <c r="F8" s="31">
        <v>47.76613219702519</v>
      </c>
    </row>
    <row r="9" spans="1:6" x14ac:dyDescent="0.25">
      <c r="A9" s="30">
        <v>0.087017</v>
      </c>
      <c r="B9" s="31">
        <v>33.721242611320044</v>
      </c>
      <c r="C9" s="31">
        <v>34.323885770813725</v>
      </c>
      <c r="D9" s="31">
        <v>35.001390817674874</v>
      </c>
      <c r="E9" s="31">
        <v>35.77345237474426</v>
      </c>
      <c r="F9" s="31">
        <v>36.66733744421586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48195000000</v>
      </c>
      <c r="C5" s="18">
        <v>48300000000</v>
      </c>
      <c r="D5" s="18">
        <v>45006000000</v>
      </c>
      <c r="E5" s="18">
        <v>46159000000</v>
      </c>
      <c r="F5" s="8" t="s">
        <v>84</v>
      </c>
    </row>
    <row r="6" spans="1:6" x14ac:dyDescent="0.25">
      <c r="A6" t="s">
        <v>44</v>
      </c>
      <c r="B6" s="18">
        <v>13724000000</v>
      </c>
      <c r="C6" s="18">
        <v>5887000000</v>
      </c>
      <c r="D6" s="18">
        <v>8195000000</v>
      </c>
      <c r="E6" s="18">
        <v>9104000000</v>
      </c>
      <c r="F6" s="8" t="s">
        <v>85</v>
      </c>
    </row>
    <row r="7" spans="1:6" x14ac:dyDescent="0.25">
      <c r="A7" t="s">
        <v>86</v>
      </c>
      <c r="B7" s="18">
        <v>4011000000</v>
      </c>
      <c r="C7" s="18">
        <v>9600000000</v>
      </c>
      <c r="D7" s="18">
        <v>9760000000</v>
      </c>
      <c r="E7" s="18">
        <v>10276000000</v>
      </c>
      <c r="F7" s="8" t="s">
        <v>87</v>
      </c>
    </row>
    <row r="8" spans="1:6" x14ac:dyDescent="0.25">
      <c r="A8" t="s">
        <v>88</v>
      </c>
      <c r="B8" s="18">
        <v>1311000000</v>
      </c>
      <c r="C8" s="18">
        <v>1248000000</v>
      </c>
      <c r="D8" s="18">
        <v>1209000000</v>
      </c>
      <c r="E8" s="18">
        <v>1118000000</v>
      </c>
      <c r="F8" s="8" t="s">
        <v>89</v>
      </c>
    </row>
    <row r="9" spans="1:6" x14ac:dyDescent="0.25">
      <c r="A9" t="s">
        <v>90</v>
      </c>
      <c r="B9" s="18">
        <v>455000000</v>
      </c>
      <c r="C9" s="18">
        <v>-810000000</v>
      </c>
      <c r="D9" s="18">
        <v>1914000000</v>
      </c>
      <c r="E9" s="18">
        <v>2229000000</v>
      </c>
      <c r="F9" s="8" t="s">
        <v>91</v>
      </c>
    </row>
    <row r="10" spans="1:6" x14ac:dyDescent="0.25">
      <c r="A10" t="s">
        <v>92</v>
      </c>
      <c r="B10" s="18">
        <v>47139000000</v>
      </c>
      <c r="C10" s="18">
        <v>51200000000</v>
      </c>
      <c r="D10" s="18">
        <v>41464000000</v>
      </c>
      <c r="E10" s="18">
        <v>40717000000</v>
      </c>
      <c r="F10" s="8" t="s">
        <v>93</v>
      </c>
    </row>
    <row r="11" spans="1:6" x14ac:dyDescent="0.25">
      <c r="A11" t="s">
        <v>94</v>
      </c>
      <c r="B11" s="18">
        <v>10673000000</v>
      </c>
      <c r="C11" s="18">
        <v>10859000000</v>
      </c>
      <c r="D11" s="18">
        <v>12280000000</v>
      </c>
      <c r="E11" s="18">
        <v>9253000000</v>
      </c>
      <c r="F11" s="8" t="s">
        <v>95</v>
      </c>
    </row>
    <row r="12" spans="1:6" x14ac:dyDescent="0.25">
      <c r="A12" t="s">
        <v>32</v>
      </c>
      <c r="B12" s="34">
        <v>2039000000</v>
      </c>
      <c r="C12" s="34">
        <v>2027000000</v>
      </c>
      <c r="D12" s="34">
        <v>2078000000</v>
      </c>
      <c r="E12" s="34">
        <v>2146000000</v>
      </c>
      <c r="F12" s="8" t="s">
        <v>96</v>
      </c>
    </row>
    <row r="15" spans="1:1" x14ac:dyDescent="0.25">
      <c r="A15" s="19" t="s">
        <v>97</v>
      </c>
    </row>
    <row r="16" ht="70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2026-09-19T00:07:03Z</dcterms:modified>
</cp:coreProperties>
</file>