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<sst xmlns="http://schemas.openxmlformats.org/spreadsheetml/2006/main" count="120" uniqueCount="107">
  <si>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Bristol-Myers Squibb Company (BMY)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</si>
  <si>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</si>
  <si>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</si>
  <si>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</si>
  <si>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</si>
  <si>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</si>
  <si>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</si>
  <si>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</si>
  <si>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</si>
  <si>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</si>
  <si>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</si>
  <si>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</si>
  <si>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</si>
  <si>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</si>
  <si>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</si>
  <si>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</si>
  <si>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</si>
  <si>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</si>
  <si>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</si>
  <si>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</si>
  <si>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</si>
  <si>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</si>
  <si>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</si>
  <si>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</si>
  <si>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+ 55bp, the spread for a AA rating at 7.3x interest cover. Book interest / average debt was lower, at 3.8%.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</si>
  <si>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</si>
  <si>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</si>
  <si>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</si>
  <si>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</si>
  <si>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</si>
  <si>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</si>
  <si>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</si>
  <si>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</si>
  <si>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</si>
  <si>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</si>
  <si>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</si>
  <si>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</si>
  <si>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</si>
  <si>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</si>
  <si>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</si>
  <si>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</si>
  <si>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</si>
  <si>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</si>
  <si>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</si>
  <si>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</si>
  <si>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</si>
  <si>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</si>
  <si>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</si>
  <si>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</si>
  <si>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</si>
  <si>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</si>
  <si>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</si>
  <si>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</si>
  <si>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</si>
  <si>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</si>
  <si>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</si>
  <si>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</si>
  <si>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</si>
  <si>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</si>
  <si>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</si>
  <si>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</si>
  <si>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</si>
  <si>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</si>
  <si>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</si>
  <si>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</si>
  <si>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</si>
  <si>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</si>
  <si>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</si>
  <si>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</si>
  <si>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</si>
  <si>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</si>
  <si>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</si>
  <si>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</si>
  <si>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</si>
  <si>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</si>
  <si>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</si>
  <si>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</si>
  <si>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</si>
  <si>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</si>
  <si>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</si>
  <si>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</si>
  <si>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</si>
  <si>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</si>
  <si>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</si>
  <si>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</si>
  <si>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</si>
  <si>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</si>
  <si>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</si>
  <si>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</si>
  <si>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</si>
  <si>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</si>
  <si>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</si>
  <si>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</si>
  <si>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</si>
  <si>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</si>
  <si>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</si>
  <si>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</si>
  <si>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</si>
  <si>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</si>
  <si>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</si>
  <si>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</si>
  <si>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</si>
  <si>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</si>
  <si>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</si>
  <si>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</si>
  <si>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2.60% of revenue against depreciation and amortisation of 18.04%. A business cannot depreciate more than it invests indefinitely. Capex has been set to 18.04%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</si>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</sst>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0.0398687560950306</v>
      </c>
    </row>
    <row r="7" spans="1:2" x14ac:dyDescent="0.25">
      <c r="A7" t="s">
        <v>4</v>
      </c>
      <c r="B7" s="5">
        <v>0.1964905074665221</v>
      </c>
    </row>
    <row r="8" spans="1:2" x14ac:dyDescent="0.25">
      <c r="A8" t="s">
        <v>5</v>
      </c>
      <c r="B8" s="5">
        <v>0.17736289381563594</v>
      </c>
    </row>
    <row r="9" spans="1:2" x14ac:dyDescent="0.25">
      <c r="A9" t="s">
        <v>6</v>
      </c>
      <c r="B9" s="5">
        <v>0.1803659865759499</v>
      </c>
    </row>
    <row r="10" spans="1:3" x14ac:dyDescent="0.25">
      <c r="A10" t="s">
        <v>7</v>
      </c>
      <c r="B10" s="5">
        <v>0.1803659865759499</v>
      </c>
      <c r="C10" s="6" t="s">
        <v>8</v>
      </c>
    </row>
    <row r="11" spans="1:2" x14ac:dyDescent="0.25">
      <c r="A11" t="s">
        <v>9</v>
      </c>
      <c r="B11" s="5">
        <v>0.17280506727650802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9.257427923541021</v>
      </c>
    </row>
    <row r="14" spans="1:3" x14ac:dyDescent="0.25">
      <c r="A14" t="s">
        <v>12</v>
      </c>
      <c r="B14" s="5">
        <v>0.10191425926438002</v>
      </c>
      <c r="C14" s="6" t="s">
        <v>13</v>
      </c>
    </row>
    <row r="15" spans="1:3" x14ac:dyDescent="0.25">
      <c r="A15" t="s">
        <v>14</v>
      </c>
      <c r="B15" s="5">
        <v>0.1803659865759499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0.45327999999999996</v>
      </c>
      <c r="C19" s="6" t="s">
        <v>21</v>
      </c>
    </row>
    <row r="20" spans="1:2" x14ac:dyDescent="0.25">
      <c r="A20" t="s">
        <v>22</v>
      </c>
      <c r="B20" s="9">
        <f>B17+B19*B18</f>
        <v>0.068113744</v>
      </c>
    </row>
    <row r="21" spans="1:3" x14ac:dyDescent="0.25">
      <c r="A21" t="s">
        <v>23</v>
      </c>
      <c r="B21" s="5">
        <v>0.05444</v>
      </c>
      <c r="C21" s="6" t="s">
        <v>24</v>
      </c>
    </row>
    <row r="22" spans="1:2" x14ac:dyDescent="0.25">
      <c r="A22" t="s">
        <v>25</v>
      </c>
      <c r="B22" s="10">
        <v>127714484224</v>
      </c>
    </row>
    <row r="23" spans="1:2" x14ac:dyDescent="0.25">
      <c r="A23" t="s">
        <v>26</v>
      </c>
      <c r="B23" s="10">
        <v>47139000000</v>
      </c>
    </row>
    <row r="24" spans="1:2" x14ac:dyDescent="0.25">
      <c r="A24" t="s">
        <v>27</v>
      </c>
      <c r="B24" s="9">
        <f>B22/(B22+B23)</f>
        <v>0.7304085748751136</v>
      </c>
    </row>
    <row r="25" spans="1:2" x14ac:dyDescent="0.25">
      <c r="A25" t="s">
        <v>28</v>
      </c>
      <c r="B25" s="9">
        <f>1-B24</f>
        <v>0.26959142512488643</v>
      </c>
    </row>
    <row r="26" spans="1:2" x14ac:dyDescent="0.25">
      <c r="A26" t="s">
        <v>29</v>
      </c>
      <c r="B26" s="11">
        <f>B24*B20+B25*B21*(1-B8)</f>
        <v>0.06182434321487792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48195000000</v>
      </c>
      <c r="C29" s="6" t="s">
        <v>32</v>
      </c>
    </row>
    <row r="30" spans="1:2" x14ac:dyDescent="0.25">
      <c r="A30" t="s">
        <v>33</v>
      </c>
      <c r="B30" s="10">
        <v>36466000000</v>
      </c>
    </row>
    <row r="31" spans="1:2" x14ac:dyDescent="0.25">
      <c r="A31" t="s">
        <v>34</v>
      </c>
      <c r="B31" s="12">
        <v>2039000000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0.0398687560950306</v>
      </c>
      <c r="C5" s="5">
        <v>-0.029565489170370607</v>
      </c>
      <c r="D5" s="5">
        <v>-0.02274480302407428</v>
      </c>
      <c r="E5" s="5">
        <v>-0.015924116877777957</v>
      </c>
      <c r="F5" s="5">
        <v>-0.009103430731481628</v>
      </c>
      <c r="G5" s="5">
        <v>-0.0022827445851853027</v>
      </c>
      <c r="H5" s="5">
        <v>0.004537941561111022</v>
      </c>
      <c r="I5" s="5">
        <v>0.011358627707407351</v>
      </c>
      <c r="J5" s="5">
        <v>0.018179313853703673</v>
      </c>
      <c r="K5" s="5">
        <v>0.025</v>
      </c>
    </row>
    <row r="6" spans="1:11" x14ac:dyDescent="0.25">
      <c r="A6" t="s">
        <v>50</v>
      </c>
      <c r="B6" s="18">
        <f>Assumptions!B29*(1+B5)</f>
        <v>50116474700</v>
      </c>
      <c r="C6" s="18">
        <f>B6*(1+C5)</f>
        <v>48634756610</v>
      </c>
      <c r="D6" s="18">
        <f>C6*(1+D5)</f>
        <v>47528568650.78175</v>
      </c>
      <c r="E6" s="18">
        <f>D6*(1+E5)</f>
        <v>46771718168.553215</v>
      </c>
      <c r="F6" s="18">
        <f>E6*(1+F5)</f>
        <v>46345935072.013405</v>
      </c>
      <c r="G6" s="18">
        <f>F6*(1+G5)</f>
        <v>46240139139.68242</v>
      </c>
      <c r="H6" s="18">
        <f>G6*(1+H5)</f>
        <v>46449974188.875946</v>
      </c>
      <c r="I6" s="18">
        <f>H6*(1+I5)</f>
        <v>46977582152.70607</v>
      </c>
      <c r="J6" s="18">
        <f>I6*(1+J5)</f>
        <v>47831602362.74826</v>
      </c>
      <c r="K6" s="18">
        <f>J6*(1+K5)</f>
        <v>49027392421.81696</v>
      </c>
    </row>
    <row r="7" spans="1:11" x14ac:dyDescent="0.25">
      <c r="A7" t="s">
        <v>4</v>
      </c>
      <c r="B7" s="9">
        <f>Assumptions!B7</f>
        <v>0.1964905074665221</v>
      </c>
      <c r="C7" s="9">
        <f>Assumptions!B7</f>
        <v>0.1964905074665221</v>
      </c>
      <c r="D7" s="9">
        <f>Assumptions!B7</f>
        <v>0.1964905074665221</v>
      </c>
      <c r="E7" s="9">
        <f>Assumptions!B7</f>
        <v>0.1964905074665221</v>
      </c>
      <c r="F7" s="9">
        <f>Assumptions!B7</f>
        <v>0.1964905074665221</v>
      </c>
      <c r="G7" s="9">
        <f>Assumptions!B7</f>
        <v>0.1964905074665221</v>
      </c>
      <c r="H7" s="9">
        <f>Assumptions!B7</f>
        <v>0.1964905074665221</v>
      </c>
      <c r="I7" s="9">
        <f>Assumptions!B7</f>
        <v>0.1964905074665221</v>
      </c>
      <c r="J7" s="9">
        <f>Assumptions!B7</f>
        <v>0.1964905074665221</v>
      </c>
      <c r="K7" s="9">
        <f>Assumptions!B7</f>
        <v>0.1964905074665221</v>
      </c>
    </row>
    <row r="8" spans="1:11" x14ac:dyDescent="0.25">
      <c r="A8" t="s">
        <v>51</v>
      </c>
      <c r="B8" s="18">
        <f>B6*B7</f>
        <v>9847411546.236116</v>
      </c>
      <c r="C8" s="18">
        <f>C6*C7</f>
        <v>9556268006.80969</v>
      </c>
      <c r="D8" s="18">
        <f>D6*D7</f>
        <v>9338912573.34954</v>
      </c>
      <c r="E8" s="18">
        <f>E6*E7</f>
        <v>9190198638.020174</v>
      </c>
      <c r="F8" s="18">
        <f>F6*F7</f>
        <v>9106536301.310398</v>
      </c>
      <c r="G8" s="18">
        <f>G6*G7</f>
        <v>9085748404.87879</v>
      </c>
      <c r="H8" s="18">
        <f>H6*H7</f>
        <v>9126979000.179089</v>
      </c>
      <c r="I8" s="18">
        <f>I6*I7</f>
        <v>9230648956.735447</v>
      </c>
      <c r="J8" s="18">
        <f>J6*J7</f>
        <v>9398455821.193304</v>
      </c>
      <c r="K8" s="18">
        <f>K6*K7</f>
        <v>9633417216.723135</v>
      </c>
    </row>
    <row r="9" spans="1:11" x14ac:dyDescent="0.25">
      <c r="A9" t="s">
        <v>52</v>
      </c>
      <c r="B9" s="18">
        <f>B8*(1-Assumptions!B8)</f>
        <v>8100846137.802173</v>
      </c>
      <c r="C9" s="18">
        <f>C8*(1-Assumptions!B8)</f>
        <v>7861340659.044145</v>
      </c>
      <c r="D9" s="18">
        <f>D8*(1-Assumptions!B8)</f>
        <v>7682536014.249039</v>
      </c>
      <c r="E9" s="18">
        <f>E8*(1-Assumptions!B8)</f>
        <v>7560198412.8404</v>
      </c>
      <c r="F9" s="18">
        <f>F8*(1-Assumptions!B8)</f>
        <v>7491374670.272847</v>
      </c>
      <c r="G9" s="18">
        <f>G8*(1-Assumptions!B8)</f>
        <v>7474273775.308689</v>
      </c>
      <c r="H9" s="18">
        <f>H8*(1-Assumptions!B8)</f>
        <v>7508191592.912786</v>
      </c>
      <c r="I9" s="18">
        <f>I8*(1-Assumptions!B8)</f>
        <v>7593474345.972567</v>
      </c>
      <c r="J9" s="18">
        <f>J8*(1-Assumptions!B8)</f>
        <v>7731518499.34805</v>
      </c>
      <c r="K9" s="18">
        <f>K8*(1-Assumptions!B8)</f>
        <v>7924806461.83175</v>
      </c>
    </row>
    <row r="10" spans="1:11" x14ac:dyDescent="0.25">
      <c r="A10" t="s">
        <v>53</v>
      </c>
      <c r="B10" s="18">
        <f>B6*Assumptions!B9</f>
        <v>9039307402.974133</v>
      </c>
      <c r="C10" s="18">
        <f>C6*Assumptions!B9</f>
        <v>8772055857.843851</v>
      </c>
      <c r="D10" s="18">
        <f>D6*Assumptions!B9</f>
        <v>8572537175.241015</v>
      </c>
      <c r="E10" s="18">
        <f>E6*Assumptions!B9</f>
        <v>8436027091.323381</v>
      </c>
      <c r="F10" s="18">
        <f>F6*Assumptions!B9</f>
        <v>8359230303.048615</v>
      </c>
      <c r="G10" s="18">
        <f>G6*Assumptions!B9</f>
        <v>8340148315.338015</v>
      </c>
      <c r="H10" s="18">
        <f>H6*Assumptions!B9</f>
        <v>8377995421.004019</v>
      </c>
      <c r="I10" s="18">
        <f>I6*Assumptions!B9</f>
        <v>8473157951.925567</v>
      </c>
      <c r="J10" s="18">
        <f>J6*Assumptions!B9</f>
        <v>8627194149.665627</v>
      </c>
      <c r="K10" s="18">
        <f>K6*Assumptions!B9</f>
        <v>8842874003.407267</v>
      </c>
    </row>
    <row r="11" spans="1:11" x14ac:dyDescent="0.25">
      <c r="A11" t="s">
        <v>54</v>
      </c>
      <c r="B11" s="18">
        <f>-B6*B19</f>
        <v>-9039307402.974133</v>
      </c>
      <c r="C11" s="18">
        <f>-C6*C19</f>
        <v>-8986324769.219494</v>
      </c>
      <c r="D11" s="18">
        <f>-D6*D19</f>
        <v>-8991327989.625458</v>
      </c>
      <c r="E11" s="18">
        <f>-E6*E19</f>
        <v>-9054210002.086649</v>
      </c>
      <c r="F11" s="18">
        <f>-F6*F19</f>
        <v>-9175970736.989613</v>
      </c>
      <c r="G11" s="18">
        <f>-G6*G19</f>
        <v>-9358743345.51041</v>
      </c>
      <c r="H11" s="18">
        <f>-H6*H19</f>
        <v>-9605856246.876526</v>
      </c>
      <c r="I11" s="18">
        <f>-I6*I19</f>
        <v>-9921933531.77402</v>
      </c>
      <c r="J11" s="18">
        <f>-J6*J19</f>
        <v>-10313037950.600597</v>
      </c>
      <c r="K11" s="18">
        <f>-K6*K19</f>
        <v>-10786862636.360405</v>
      </c>
    </row>
    <row r="12" spans="1:11" x14ac:dyDescent="0.25">
      <c r="A12" t="s">
        <v>55</v>
      </c>
      <c r="B12" s="18">
        <f>-(B6-Assumptions!B29)*Assumptions!B11</f>
        <v>-332040564.80360806</v>
      </c>
      <c r="C12" s="18">
        <f>-(C6-B6)*Assumptions!B11</f>
        <v>256048394.22726896</v>
      </c>
      <c r="D12" s="18">
        <f>-(D6-C6)*Assumptions!B11</f>
        <v>191154884.7131722</v>
      </c>
      <c r="E12" s="18">
        <f>-(E6-D6)*Assumptions!B11</f>
        <v>130787598.49976014</v>
      </c>
      <c r="F12" s="18">
        <f>-(F6-E6)*Assumptions!B11</f>
        <v>73577476.64276181</v>
      </c>
      <c r="G12" s="18">
        <f>-(G6-F6)*Assumptions!B11</f>
        <v>18282073.20403693</v>
      </c>
      <c r="H12" s="18">
        <f>-(H6-G6)*Assumptions!B11</f>
        <v>-36260559.79285684</v>
      </c>
      <c r="I12" s="18">
        <f>-(I6-H6)*Assumptions!B11</f>
        <v>-91173329.68528597</v>
      </c>
      <c r="J12" s="18">
        <f>-(J6-I6)*Assumptions!B11</f>
        <v>-147579019.85183826</v>
      </c>
      <c r="K12" s="18">
        <f>-(K6-J6)*Assumptions!B11</f>
        <v>-206638581.60594666</v>
      </c>
    </row>
    <row r="13" spans="1:11" x14ac:dyDescent="0.25">
      <c r="A13" s="19" t="s">
        <v>56</v>
      </c>
      <c r="B13" s="20">
        <f>B9+B10+B11+B12</f>
        <v>7768805572.998566</v>
      </c>
      <c r="C13" s="20">
        <f>C9+C10+C11+C12</f>
        <v>7903120141.895772</v>
      </c>
      <c r="D13" s="20">
        <f>D9+D10+D11+D12</f>
        <v>7454900084.577769</v>
      </c>
      <c r="E13" s="20">
        <f>E9+E10+E11+E12</f>
        <v>7072803100.576891</v>
      </c>
      <c r="F13" s="20">
        <f>F9+F10+F11+F12</f>
        <v>6748211712.974612</v>
      </c>
      <c r="G13" s="20">
        <f>G9+G10+G11+G12</f>
        <v>6473960818.34033</v>
      </c>
      <c r="H13" s="20">
        <f>H9+H10+H11+H12</f>
        <v>6244070207.247422</v>
      </c>
      <c r="I13" s="20">
        <f>I9+I10+I11+I12</f>
        <v>6053525436.4388275</v>
      </c>
      <c r="J13" s="20">
        <f>J9+J10+J11+J12</f>
        <v>5898095678.56124</v>
      </c>
      <c r="K13" s="20">
        <f>K9+K10+K11+K12</f>
        <v>5774179247.272666</v>
      </c>
    </row>
    <row r="14" spans="1:11" x14ac:dyDescent="0.25">
      <c r="A14" t="s">
        <v>57</v>
      </c>
      <c r="B14" s="21">
        <f>1/(1+Assumptions!$B$26)^(1-0.5*Assumptions!$B$32)</f>
        <v>0.9704511100987209</v>
      </c>
      <c r="C14" s="21">
        <f>1/(1+Assumptions!$B$26)^(2-0.5*Assumptions!$B$32)</f>
        <v>0.9139469407533954</v>
      </c>
      <c r="D14" s="21">
        <f>1/(1+Assumptions!$B$26)^(3-0.5*Assumptions!$B$32)</f>
        <v>0.8607327064910235</v>
      </c>
      <c r="E14" s="21">
        <f>1/(1+Assumptions!$B$26)^(4-0.5*Assumptions!$B$32)</f>
        <v>0.8106168520162094</v>
      </c>
      <c r="F14" s="21">
        <f>1/(1+Assumptions!$B$26)^(5-0.5*Assumptions!$B$32)</f>
        <v>0.7634189752722287</v>
      </c>
      <c r="G14" s="21">
        <f>1/(1+Assumptions!$B$26)^(6-0.5*Assumptions!$B$32)</f>
        <v>0.7189691780476897</v>
      </c>
      <c r="H14" s="21">
        <f>1/(1+Assumptions!$B$26)^(7-0.5*Assumptions!$B$32)</f>
        <v>0.6771074543938895</v>
      </c>
      <c r="I14" s="21">
        <f>1/(1+Assumptions!$B$26)^(8-0.5*Assumptions!$B$32)</f>
        <v>0.637683114651352</v>
      </c>
      <c r="J14" s="21">
        <f>1/(1+Assumptions!$B$26)^(9-0.5*Assumptions!$B$32)</f>
        <v>0.6005542430122137</v>
      </c>
      <c r="K14" s="21">
        <f>1/(1+Assumptions!$B$26)^(10-0.5*Assumptions!$B$32)</f>
        <v>0.5655871866658471</v>
      </c>
    </row>
    <row r="15" spans="1:11" x14ac:dyDescent="0.25">
      <c r="A15" s="19" t="s">
        <v>58</v>
      </c>
      <c r="B15" s="20">
        <f>B13*B14</f>
        <v>7539245992.457587</v>
      </c>
      <c r="C15" s="20">
        <f>C13*C14</f>
        <v>7223032476.092181</v>
      </c>
      <c r="D15" s="20">
        <f>D13*D14</f>
        <v>6416676326.418783</v>
      </c>
      <c r="E15" s="20">
        <f>E13*E14</f>
        <v>5733333384.320125</v>
      </c>
      <c r="F15" s="20">
        <f>F13*F14</f>
        <v>5151712870.839129</v>
      </c>
      <c r="G15" s="20">
        <f>G13*G14</f>
        <v>4654578288.275096</v>
      </c>
      <c r="H15" s="20">
        <f>H13*H14</f>
        <v>4227906483.086028</v>
      </c>
      <c r="I15" s="20">
        <f>I13*I14</f>
        <v>3860230954.9294963</v>
      </c>
      <c r="J15" s="20">
        <f>J13*J14</f>
        <v>3542126385.451955</v>
      </c>
      <c r="K15" s="20">
        <f>K13*K14</f>
        <v>3265801795.7692657</v>
      </c>
    </row>
    <row r="17" spans="1:2" x14ac:dyDescent="0.25">
      <c r="A17" s="22" t="s">
        <v>59</v>
      </c>
      <c r="B17" s="23">
        <f>SUM(B15:K15)</f>
        <v>51614644957.63965</v>
      </c>
    </row>
    <row r="19" spans="1:11" x14ac:dyDescent="0.25">
      <c r="A19" t="s">
        <v>7</v>
      </c>
      <c r="B19" s="9">
        <f>Assumptions!$B$10+($B$20-Assumptions!$B$10)*0/9</f>
        <v>0.1803659865759499</v>
      </c>
      <c r="C19" s="9">
        <f>Assumptions!$B$10+($B$20-Assumptions!$B$10)*1/9</f>
        <v>0.18477166116570587</v>
      </c>
      <c r="D19" s="9">
        <f>Assumptions!$B$10+($B$20-Assumptions!$B$10)*2/9</f>
        <v>0.18917733575546183</v>
      </c>
      <c r="E19" s="9">
        <f>Assumptions!$B$10+($B$20-Assumptions!$B$10)*3/9</f>
        <v>0.1935830103452178</v>
      </c>
      <c r="F19" s="9">
        <f>Assumptions!$B$10+($B$20-Assumptions!$B$10)*4/9</f>
        <v>0.19798868493497376</v>
      </c>
      <c r="G19" s="9">
        <f>Assumptions!$B$10+($B$20-Assumptions!$B$10)*5/9</f>
        <v>0.20239435952472973</v>
      </c>
      <c r="H19" s="9">
        <f>Assumptions!$B$10+($B$20-Assumptions!$B$10)*6/9</f>
        <v>0.2068000341144857</v>
      </c>
      <c r="I19" s="9">
        <f>Assumptions!$B$10+($B$20-Assumptions!$B$10)*7/9</f>
        <v>0.21120570870424166</v>
      </c>
      <c r="J19" s="9">
        <f>Assumptions!$B$10+($B$20-Assumptions!$B$10)*8/9</f>
        <v>0.21561138329399762</v>
      </c>
      <c r="K19" s="9">
        <f>Assumptions!$B$10+($B$20-Assumptions!$B$10)*9/9</f>
        <v>0.2200170578837536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0.2200170578837536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5774179247.272666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7924806461.83175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0.24530424084373179</v>
      </c>
    </row>
    <row r="7" spans="1:2" x14ac:dyDescent="0.25">
      <c r="A7" t="s">
        <v>66</v>
      </c>
      <c r="B7" s="18">
        <f>-MAX(B5,0)*B6</f>
        <v>-1943988632.9531376</v>
      </c>
    </row>
    <row r="8" spans="1:2" x14ac:dyDescent="0.25">
      <c r="A8" t="s">
        <v>67</v>
      </c>
      <c r="B8" s="18">
        <f>IF(OR(Assumptions!$B$33=0,Assumptions!B12&lt;=0),B5,MAX(B5+B7,0))</f>
        <v>5980817828.8786125</v>
      </c>
    </row>
    <row r="9" spans="1:2" x14ac:dyDescent="0.25">
      <c r="A9" t="s">
        <v>68</v>
      </c>
      <c r="B9" s="18">
        <f>B8*(1+Assumptions!B12)/(Assumptions!B26-Assumptions!B12)</f>
        <v>166475155818.22446</v>
      </c>
    </row>
    <row r="10" spans="1:2" x14ac:dyDescent="0.25">
      <c r="A10" t="s">
        <v>69</v>
      </c>
      <c r="B10" s="18">
        <f>B9/(1+Assumptions!B26)^(10-0.5*Assumptions!B32)</f>
        <v>94156215028.9881</v>
      </c>
    </row>
    <row r="11" spans="1:2" x14ac:dyDescent="0.25">
      <c r="A11" t="s">
        <v>70</v>
      </c>
      <c r="B11" s="18">
        <f>Forecast!B17+B10</f>
        <v>145770859986.62775</v>
      </c>
    </row>
    <row r="12" spans="1:2" x14ac:dyDescent="0.25">
      <c r="A12" t="s">
        <v>71</v>
      </c>
      <c r="B12" s="18">
        <f>-Assumptions!B30</f>
        <v>-36466000000</v>
      </c>
    </row>
    <row r="13" spans="1:2" x14ac:dyDescent="0.25">
      <c r="A13" t="s">
        <v>72</v>
      </c>
      <c r="B13" s="18">
        <f>B11+B12</f>
        <v>109304859986.62775</v>
      </c>
    </row>
    <row r="14" spans="1:2" x14ac:dyDescent="0.25">
      <c r="A14" s="19" t="s">
        <v>73</v>
      </c>
      <c r="B14" s="24">
        <f>B13/Assumptions!B31</f>
        <v>53.6070917050651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18476291220.1304</v>
      </c>
    </row>
    <row r="18" spans="1:2" x14ac:dyDescent="0.25">
      <c r="A18" t="s">
        <v>68</v>
      </c>
      <c r="B18" s="18">
        <f>B17*Assumptions!B13</f>
        <v>171042934264.711</v>
      </c>
    </row>
    <row r="19" spans="1:2" x14ac:dyDescent="0.25">
      <c r="A19" t="s">
        <v>69</v>
      </c>
      <c r="B19" s="18">
        <f>B18/(1+Assumptions!B26)^(10-0.5*Assumptions!B32)</f>
        <v>96739691989.8493</v>
      </c>
    </row>
    <row r="20" spans="1:2" x14ac:dyDescent="0.25">
      <c r="A20" t="s">
        <v>70</v>
      </c>
      <c r="B20" s="18">
        <f>Forecast!B17+B19</f>
        <v>148354336947.48895</v>
      </c>
    </row>
    <row r="21" spans="1:2" x14ac:dyDescent="0.25">
      <c r="A21" t="s">
        <v>71</v>
      </c>
      <c r="B21" s="18">
        <f>-Assumptions!B30</f>
        <v>-36466000000</v>
      </c>
    </row>
    <row r="22" spans="1:2" x14ac:dyDescent="0.25">
      <c r="A22" t="s">
        <v>72</v>
      </c>
      <c r="B22" s="18">
        <f>B20+B21</f>
        <v>111888336947.48895</v>
      </c>
    </row>
    <row r="23" spans="1:2" x14ac:dyDescent="0.25">
      <c r="A23" s="19" t="s">
        <v>73</v>
      </c>
      <c r="B23" s="25">
        <f>B22/Assumptions!B31</f>
        <v>54.87412307380527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62.48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53.6070917050651</v>
      </c>
    </row>
    <row r="29" spans="1:2" x14ac:dyDescent="0.25">
      <c r="A29" s="19" t="s">
        <v>81</v>
      </c>
      <c r="B29" s="11">
        <f>B28/B26-1</f>
        <v>-0.1420119765514548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0.041824</v>
      </c>
      <c r="B5" s="31">
        <v>95.95454434910206</v>
      </c>
      <c r="C5" s="31">
        <v>109.20185692394388</v>
      </c>
      <c r="D5" s="31">
        <v>130.66159369899057</v>
      </c>
      <c r="E5" s="31">
        <v>170.75208713390643</v>
      </c>
      <c r="F5" s="31">
        <v>270.42605556076086</v>
      </c>
    </row>
    <row r="6" spans="1:6" x14ac:dyDescent="0.25">
      <c r="A6" s="30">
        <v>0.051824</v>
      </c>
      <c r="B6" s="31">
        <v>66.3108350150261</v>
      </c>
      <c r="C6" s="31">
        <v>71.0778831937141</v>
      </c>
      <c r="D6" s="31">
        <v>77.82251271284176</v>
      </c>
      <c r="E6" s="31">
        <v>87.90394828403818</v>
      </c>
      <c r="F6" s="31">
        <v>104.29723096656583</v>
      </c>
    </row>
    <row r="7" spans="1:6" x14ac:dyDescent="0.25">
      <c r="A7" s="30">
        <v>0.061824</v>
      </c>
      <c r="B7" s="31">
        <v>49.29895298556047</v>
      </c>
      <c r="C7" s="31">
        <v>51.135020431884286</v>
      </c>
      <c r="D7" s="32">
        <v>53.607698308523524</v>
      </c>
      <c r="E7" s="31">
        <v>57.01704809281385</v>
      </c>
      <c r="F7" s="31">
        <v>61.88685738596193</v>
      </c>
    </row>
    <row r="8" spans="1:6" x14ac:dyDescent="0.25">
      <c r="A8" s="30">
        <v>0.071824</v>
      </c>
      <c r="B8" s="31">
        <v>38.251285620842786</v>
      </c>
      <c r="C8" s="31">
        <v>38.850974322083644</v>
      </c>
      <c r="D8" s="31">
        <v>39.681418288535966</v>
      </c>
      <c r="E8" s="31">
        <v>40.8253769161966</v>
      </c>
      <c r="F8" s="31">
        <v>42.41055821935309</v>
      </c>
    </row>
    <row r="9" spans="1:6" x14ac:dyDescent="0.25">
      <c r="A9" s="30">
        <v>0.081824</v>
      </c>
      <c r="B9" s="31">
        <v>30.491302595146024</v>
      </c>
      <c r="C9" s="31">
        <v>30.511207738517392</v>
      </c>
      <c r="D9" s="31">
        <v>30.61473852304687</v>
      </c>
      <c r="E9" s="31">
        <v>30.82609965345375</v>
      </c>
      <c r="F9" s="31">
        <v>31.179834423522426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48195000000</v>
      </c>
      <c r="C5" s="18">
        <v>48300000000</v>
      </c>
      <c r="D5" s="18">
        <v>45006000000</v>
      </c>
      <c r="E5" s="18">
        <v>46159000000</v>
      </c>
      <c r="F5" s="6" t="s">
        <v>91</v>
      </c>
    </row>
    <row r="6" spans="1:6" x14ac:dyDescent="0.25">
      <c r="A6" t="s">
        <v>51</v>
      </c>
      <c r="B6" s="18">
        <v>13724000000</v>
      </c>
      <c r="C6" s="18">
        <v>5887000000</v>
      </c>
      <c r="D6" s="18">
        <v>8195000000</v>
      </c>
      <c r="E6" s="18">
        <v>9104000000</v>
      </c>
      <c r="F6" s="6" t="s">
        <v>92</v>
      </c>
    </row>
    <row r="7" spans="1:6" x14ac:dyDescent="0.25">
      <c r="A7" t="s">
        <v>93</v>
      </c>
      <c r="B7" s="18">
        <v>4011000000</v>
      </c>
      <c r="C7" s="18">
        <v>9600000000</v>
      </c>
      <c r="D7" s="18">
        <v>9760000000</v>
      </c>
      <c r="E7" s="18">
        <v>10276000000</v>
      </c>
      <c r="F7" s="6" t="s">
        <v>94</v>
      </c>
    </row>
    <row r="8" spans="1:6" x14ac:dyDescent="0.25">
      <c r="A8" t="s">
        <v>95</v>
      </c>
      <c r="B8" s="18">
        <v>1311000000</v>
      </c>
      <c r="C8" s="18">
        <v>1248000000</v>
      </c>
      <c r="D8" s="18">
        <v>1209000000</v>
      </c>
      <c r="E8" s="18">
        <v>1118000000</v>
      </c>
      <c r="F8" s="6" t="s">
        <v>96</v>
      </c>
    </row>
    <row r="9" spans="1:6" x14ac:dyDescent="0.25">
      <c r="A9" t="s">
        <v>97</v>
      </c>
      <c r="B9" s="18">
        <v>455000000</v>
      </c>
      <c r="C9" s="18">
        <v>-810000000</v>
      </c>
      <c r="D9" s="18">
        <v>1914000000</v>
      </c>
      <c r="E9" s="18">
        <v>2229000000</v>
      </c>
      <c r="F9" s="6" t="s">
        <v>98</v>
      </c>
    </row>
    <row r="10" spans="1:6" x14ac:dyDescent="0.25">
      <c r="A10" t="s">
        <v>99</v>
      </c>
      <c r="B10" s="18">
        <v>47139000000</v>
      </c>
      <c r="C10" s="18">
        <v>51200000000</v>
      </c>
      <c r="D10" s="18">
        <v>41464000000</v>
      </c>
      <c r="E10" s="18">
        <v>40717000000</v>
      </c>
      <c r="F10" s="6" t="s">
        <v>100</v>
      </c>
    </row>
    <row r="11" spans="1:6" x14ac:dyDescent="0.25">
      <c r="A11" t="s">
        <v>101</v>
      </c>
      <c r="B11" s="18">
        <v>10673000000</v>
      </c>
      <c r="C11" s="18">
        <v>10859000000</v>
      </c>
      <c r="D11" s="18">
        <v>12280000000</v>
      </c>
      <c r="E11" s="18">
        <v>9253000000</v>
      </c>
      <c r="F11" s="6" t="s">
        <v>102</v>
      </c>
    </row>
    <row r="12" spans="1:6" x14ac:dyDescent="0.25">
      <c r="A12" t="s">
        <v>34</v>
      </c>
      <c r="B12" s="34">
        <v>2039000000</v>
      </c>
      <c r="C12" s="34">
        <v>2027000000</v>
      </c>
      <c r="D12" s="34">
        <v>2078000000</v>
      </c>
      <c r="E12" s="34">
        <v>2146000000</v>
      </c>
      <c r="F12" s="6" t="s">
        <v>103</v>
      </c>
    </row>
    <row r="15" spans="1:1" x14ac:dyDescent="0.25">
      <c r="A15" s="19" t="s">
        <v>104</v>
      </c>
    </row>
    <row r="16" ht="70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