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<sst xmlns="http://schemas.openxmlformats.org/spreadsheetml/2006/main" count="113" uniqueCount="101">
  <si>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Danone S.A. (BN.PA)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</si>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</sst>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-0.004576058217421131</v>
      </c>
    </row>
    <row r="7" spans="1:2" x14ac:dyDescent="0.25">
      <c r="A7" t="s">
        <v>5</v>
      </c>
      <c r="B7" s="6">
        <v>0.12667552676285831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0.054502572392756535</v>
      </c>
    </row>
    <row r="10" spans="1:2" x14ac:dyDescent="0.25">
      <c r="A10" t="s">
        <v>8</v>
      </c>
      <c r="B10" s="6">
        <v>0.03365310170235686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9.235122864353313</v>
      </c>
    </row>
    <row r="14" spans="1:3" x14ac:dyDescent="0.25">
      <c r="A14" t="s">
        <v>12</v>
      </c>
      <c r="B14" s="6">
        <v>0.08725970687765505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0.45126999999999995</v>
      </c>
      <c r="C19" s="8" t="s">
        <v>19</v>
      </c>
    </row>
    <row r="20" spans="1:2" x14ac:dyDescent="0.25">
      <c r="A20" t="s">
        <v>20</v>
      </c>
      <c r="B20" s="10">
        <f>B17+B19*B18</f>
        <v>0.059076199999999995</v>
      </c>
    </row>
    <row r="21" spans="1:3" x14ac:dyDescent="0.25">
      <c r="A21" t="s">
        <v>21</v>
      </c>
      <c r="B21" s="6">
        <v>0.03481421930161837</v>
      </c>
      <c r="C21" s="8" t="s">
        <v>22</v>
      </c>
    </row>
    <row r="22" spans="1:2" x14ac:dyDescent="0.25">
      <c r="A22" t="s">
        <v>23</v>
      </c>
      <c r="B22" s="11">
        <v>38993543168</v>
      </c>
    </row>
    <row r="23" spans="1:2" x14ac:dyDescent="0.25">
      <c r="A23" t="s">
        <v>24</v>
      </c>
      <c r="B23" s="11">
        <v>14418000000</v>
      </c>
    </row>
    <row r="24" spans="1:2" x14ac:dyDescent="0.25">
      <c r="A24" t="s">
        <v>25</v>
      </c>
      <c r="B24" s="10">
        <f>B22/(B22+B23)</f>
        <v>0.7300583517190319</v>
      </c>
    </row>
    <row r="25" spans="1:2" x14ac:dyDescent="0.25">
      <c r="A25" t="s">
        <v>26</v>
      </c>
      <c r="B25" s="10">
        <f>1-B24</f>
        <v>0.2699416482809681</v>
      </c>
    </row>
    <row r="26" spans="1:2" x14ac:dyDescent="0.25">
      <c r="A26" t="s">
        <v>27</v>
      </c>
      <c r="B26" s="12">
        <f>B24*B20+B25*B21*(1-B8)</f>
        <v>0.05010224654230918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27283000000</v>
      </c>
      <c r="C29" s="8" t="s">
        <v>30</v>
      </c>
    </row>
    <row r="30" spans="1:2" x14ac:dyDescent="0.25">
      <c r="A30" t="s">
        <v>31</v>
      </c>
      <c r="B30" s="11">
        <v>7847000000</v>
      </c>
    </row>
    <row r="31" spans="1:2" x14ac:dyDescent="0.25">
      <c r="A31" t="s">
        <v>32</v>
      </c>
      <c r="B31" s="13">
        <v>645130545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-0.004576058217421131</v>
      </c>
      <c r="C5" s="10">
        <f>Assumptions!B6</f>
        <v>-0.004576058217421131</v>
      </c>
      <c r="D5" s="10">
        <f>Assumptions!B6</f>
        <v>-0.004576058217421131</v>
      </c>
      <c r="E5" s="10">
        <f>Assumptions!B6</f>
        <v>-0.004576058217421131</v>
      </c>
      <c r="F5" s="10">
        <f>Assumptions!B6</f>
        <v>-0.004576058217421131</v>
      </c>
    </row>
    <row r="6" spans="1:6" x14ac:dyDescent="0.25">
      <c r="A6" t="s">
        <v>43</v>
      </c>
      <c r="B6" s="18">
        <f>Assumptions!B29*(1+B5)</f>
        <v>27158151403.6541</v>
      </c>
      <c r="C6" s="18">
        <f>B6*(1+C5)</f>
        <v>27033874121.75344</v>
      </c>
      <c r="D6" s="18">
        <f>C6*(1+D5)</f>
        <v>26910165539.929863</v>
      </c>
      <c r="E6" s="18">
        <f>D6*(1+E5)</f>
        <v>26787023055.778706</v>
      </c>
      <c r="F6" s="18">
        <f>E6*(1+F5)</f>
        <v>26664444078.80406</v>
      </c>
    </row>
    <row r="7" spans="1:6" x14ac:dyDescent="0.25">
      <c r="A7" t="s">
        <v>5</v>
      </c>
      <c r="B7" s="10">
        <f>Assumptions!B7</f>
        <v>0.12667552676285831</v>
      </c>
      <c r="C7" s="10">
        <f>Assumptions!B7</f>
        <v>0.12667552676285831</v>
      </c>
      <c r="D7" s="10">
        <f>Assumptions!B7</f>
        <v>0.12667552676285831</v>
      </c>
      <c r="E7" s="10">
        <f>Assumptions!B7</f>
        <v>0.12667552676285831</v>
      </c>
      <c r="F7" s="10">
        <f>Assumptions!B7</f>
        <v>0.12667552676285831</v>
      </c>
    </row>
    <row r="8" spans="1:6" x14ac:dyDescent="0.25">
      <c r="A8" t="s">
        <v>44</v>
      </c>
      <c r="B8" s="18">
        <f>B6*B7</f>
        <v>3440273134.9633427</v>
      </c>
      <c r="C8" s="18">
        <f>C6*C7</f>
        <v>3424530244.813921</v>
      </c>
      <c r="D8" s="18">
        <f>D6*D7</f>
        <v>3408859395.046333</v>
      </c>
      <c r="E8" s="18">
        <f>E6*E7</f>
        <v>3393260255.999598</v>
      </c>
      <c r="F8" s="18">
        <f>F6*F7</f>
        <v>3377732499.5212827</v>
      </c>
    </row>
    <row r="9" spans="1:6" x14ac:dyDescent="0.25">
      <c r="A9" t="s">
        <v>45</v>
      </c>
      <c r="B9" s="18">
        <f>B8*(1-Assumptions!B8)</f>
        <v>2552682666.1428003</v>
      </c>
      <c r="C9" s="18">
        <f>C8*(1-Assumptions!B8)</f>
        <v>2541001441.6519294</v>
      </c>
      <c r="D9" s="18">
        <f>D8*(1-Assumptions!B8)</f>
        <v>2529373671.124379</v>
      </c>
      <c r="E9" s="18">
        <f>E8*(1-Assumptions!B8)</f>
        <v>2517799109.9517016</v>
      </c>
      <c r="F9" s="18">
        <f>F8*(1-Assumptions!B8)</f>
        <v>2506277514.6447916</v>
      </c>
    </row>
    <row r="10" spans="1:6" x14ac:dyDescent="0.25">
      <c r="A10" t="s">
        <v>46</v>
      </c>
      <c r="B10" s="18">
        <f>B6*Assumptions!B9</f>
        <v>1480189112.9311</v>
      </c>
      <c r="C10" s="18">
        <f>C6*Assumptions!B9</f>
        <v>1473415681.3775344</v>
      </c>
      <c r="D10" s="18">
        <f>D6*Assumptions!B9</f>
        <v>1466673245.4410896</v>
      </c>
      <c r="E10" s="18">
        <f>E6*Assumptions!B9</f>
        <v>1459961663.2840173</v>
      </c>
      <c r="F10" s="18">
        <f>F6*Assumptions!B9</f>
        <v>1453280793.7176268</v>
      </c>
    </row>
    <row r="11" spans="1:6" x14ac:dyDescent="0.25">
      <c r="A11" t="s">
        <v>47</v>
      </c>
      <c r="B11" s="18">
        <f>-B6*Assumptions!B10</f>
        <v>-913956031.235177</v>
      </c>
      <c r="C11" s="18">
        <f>-C6*Assumptions!B10</f>
        <v>-909773715.2280817</v>
      </c>
      <c r="D11" s="18">
        <f>-D6*Assumptions!B10</f>
        <v>-905610537.7425185</v>
      </c>
      <c r="E11" s="18">
        <f>-E6*Assumptions!B10</f>
        <v>-901466411.1994988</v>
      </c>
      <c r="F11" s="18">
        <f>-F6*Assumptions!B10</f>
        <v>-897341248.4208002</v>
      </c>
    </row>
    <row r="12" spans="1:6" x14ac:dyDescent="0.25">
      <c r="A12" t="s">
        <v>48</v>
      </c>
      <c r="B12" s="18">
        <f>-(B6-Assumptions!B29)*Assumptions!B11</f>
        <v>124848596.34590149</v>
      </c>
      <c r="C12" s="18">
        <f>-(C6-B6)*Assumptions!B11</f>
        <v>124277281.90065765</v>
      </c>
      <c r="D12" s="18">
        <f>-(D6-C6)*Assumptions!B11</f>
        <v>123708581.82357788</v>
      </c>
      <c r="E12" s="18">
        <f>-(E6-D6)*Assumptions!B11</f>
        <v>123142484.15115738</v>
      </c>
      <c r="F12" s="18">
        <f>-(F6-E6)*Assumptions!B11</f>
        <v>122578976.9746437</v>
      </c>
    </row>
    <row r="13" spans="1:6" x14ac:dyDescent="0.25">
      <c r="A13" s="19" t="s">
        <v>49</v>
      </c>
      <c r="B13" s="20">
        <f>B9+B10+B11+B12</f>
        <v>3243764344.1846247</v>
      </c>
      <c r="C13" s="20">
        <f>C9+C10+C11+C12</f>
        <v>3228920689.7020397</v>
      </c>
      <c r="D13" s="20">
        <f>D9+D10+D11+D12</f>
        <v>3214144960.6465282</v>
      </c>
      <c r="E13" s="20">
        <f>E9+E10+E11+E12</f>
        <v>3199436846.1873775</v>
      </c>
      <c r="F13" s="20">
        <f>F9+F10+F11+F12</f>
        <v>3184796036.9162617</v>
      </c>
    </row>
    <row r="14" spans="1:6" x14ac:dyDescent="0.25">
      <c r="A14" t="s">
        <v>50</v>
      </c>
      <c r="B14" s="21">
        <f>1/(1+Assumptions!$B$26)^(1-0.5*Assumptions!$B$32)</f>
        <v>0.97585256098603</v>
      </c>
      <c r="C14" s="21">
        <f>1/(1+Assumptions!$B$26)^(2-0.5*Assumptions!$B$32)</f>
        <v>0.9292928990479143</v>
      </c>
      <c r="D14" s="21">
        <f>1/(1+Assumptions!$B$26)^(3-0.5*Assumptions!$B$32)</f>
        <v>0.8849546814206085</v>
      </c>
      <c r="E14" s="21">
        <f>1/(1+Assumptions!$B$26)^(4-0.5*Assumptions!$B$32)</f>
        <v>0.842731919043612</v>
      </c>
      <c r="F14" s="21">
        <f>1/(1+Assumptions!$B$26)^(5-0.5*Assumptions!$B$32)</f>
        <v>0.8025236797830791</v>
      </c>
    </row>
    <row r="15" spans="1:6" x14ac:dyDescent="0.25">
      <c r="A15" s="19" t="s">
        <v>51</v>
      </c>
      <c r="B15" s="20">
        <f>B13*B14</f>
        <v>3165435742.507736</v>
      </c>
      <c r="C15" s="20">
        <f>C13*C14</f>
        <v>3000613068.5289993</v>
      </c>
      <c r="D15" s="20">
        <f>D13*D14</f>
        <v>2844372629.688603</v>
      </c>
      <c r="E15" s="20">
        <f>E13*E14</f>
        <v>2696267553.2463303</v>
      </c>
      <c r="F15" s="20">
        <f>F13*F14</f>
        <v>2555874234.9046054</v>
      </c>
    </row>
    <row r="17" spans="1:2" x14ac:dyDescent="0.25">
      <c r="A17" s="22" t="s">
        <v>52</v>
      </c>
      <c r="B17" s="23">
        <f>SUM(B15:F15)</f>
        <v>14262563228.876274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3184796036.9162617</v>
      </c>
    </row>
    <row r="5" spans="1:2" x14ac:dyDescent="0.25">
      <c r="A5" t="s">
        <v>56</v>
      </c>
      <c r="B5" s="18">
        <f>IF(Assumptions!$B$33=0,B4,B4-Forecast!F11-Forecast!F10-Forecast!F12)</f>
        <v>2506277514.6447916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0.2865010770097126</v>
      </c>
    </row>
    <row r="7" spans="1:2" x14ac:dyDescent="0.25">
      <c r="A7" t="s">
        <v>58</v>
      </c>
      <c r="B7" s="18">
        <f>-MAX(Forecast!F9,0)*B6</f>
        <v>-718051207.2309586</v>
      </c>
    </row>
    <row r="8" spans="1:2" x14ac:dyDescent="0.25">
      <c r="A8" t="s">
        <v>59</v>
      </c>
      <c r="B8" s="18">
        <f>IF(OR(Assumptions!$B$33=0,Assumptions!B12&lt;=0),B5,MAX(B5+B7,0))</f>
        <v>1788226307.4138331</v>
      </c>
    </row>
    <row r="9" spans="1:2" x14ac:dyDescent="0.25">
      <c r="A9" t="s">
        <v>60</v>
      </c>
      <c r="B9" s="18">
        <f>B8*(1+Assumptions!B12)/(Assumptions!B26-Assumptions!B12)</f>
        <v>73018642455.36032</v>
      </c>
    </row>
    <row r="10" spans="1:2" x14ac:dyDescent="0.25">
      <c r="A10" t="s">
        <v>61</v>
      </c>
      <c r="B10" s="18">
        <f>B9/(1+Assumptions!B26)^(5-0.5*Assumptions!B32)</f>
        <v>58599189636.04073</v>
      </c>
    </row>
    <row r="11" spans="1:2" x14ac:dyDescent="0.25">
      <c r="A11" t="s">
        <v>62</v>
      </c>
      <c r="B11" s="18">
        <f>Forecast!B17+B10</f>
        <v>72861752864.917</v>
      </c>
    </row>
    <row r="12" spans="1:2" x14ac:dyDescent="0.25">
      <c r="A12" t="s">
        <v>63</v>
      </c>
      <c r="B12" s="18">
        <f>-Assumptions!B30</f>
        <v>-7847000000</v>
      </c>
    </row>
    <row r="13" spans="1:2" x14ac:dyDescent="0.25">
      <c r="A13" t="s">
        <v>64</v>
      </c>
      <c r="B13" s="18">
        <f>B11+B12</f>
        <v>65014752864.91701</v>
      </c>
    </row>
    <row r="14" spans="1:2" x14ac:dyDescent="0.25">
      <c r="A14" s="19" t="s">
        <v>65</v>
      </c>
      <c r="B14" s="24">
        <f>B13/Assumptions!B31</f>
        <v>100.77766952565702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4831013293.23891</v>
      </c>
    </row>
    <row r="18" spans="1:2" x14ac:dyDescent="0.25">
      <c r="A18" t="s">
        <v>60</v>
      </c>
      <c r="B18" s="18">
        <f>B17*Assumptions!B13</f>
        <v>44615001322.38545</v>
      </c>
    </row>
    <row r="19" spans="1:2" x14ac:dyDescent="0.25">
      <c r="A19" t="s">
        <v>61</v>
      </c>
      <c r="B19" s="18">
        <f>B18/(1+Assumptions!B26)^(5-0.5*Assumptions!B32)</f>
        <v>35804595034.767715</v>
      </c>
    </row>
    <row r="20" spans="1:2" x14ac:dyDescent="0.25">
      <c r="A20" t="s">
        <v>62</v>
      </c>
      <c r="B20" s="18">
        <f>Forecast!B17+B19</f>
        <v>50067158263.64399</v>
      </c>
    </row>
    <row r="21" spans="1:2" x14ac:dyDescent="0.25">
      <c r="A21" t="s">
        <v>63</v>
      </c>
      <c r="B21" s="18">
        <f>-Assumptions!B30</f>
        <v>-7847000000</v>
      </c>
    </row>
    <row r="22" spans="1:2" x14ac:dyDescent="0.25">
      <c r="A22" t="s">
        <v>64</v>
      </c>
      <c r="B22" s="18">
        <f>B20+B21</f>
        <v>42220158263.64399</v>
      </c>
    </row>
    <row r="23" spans="1:2" x14ac:dyDescent="0.25">
      <c r="A23" s="19" t="s">
        <v>65</v>
      </c>
      <c r="B23" s="25">
        <f>B22/Assumptions!B31</f>
        <v>65.44436407617933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100.77766952565702</v>
      </c>
    </row>
    <row r="29" spans="1:2" x14ac:dyDescent="0.25">
      <c r="A29" s="19" t="s">
        <v>73</v>
      </c>
      <c r="B29" s="12">
        <f>B28/B26-1</f>
        <v>0.6646460113256858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0.030102</v>
      </c>
      <c r="B5" s="31">
        <v>200.20016511282324</v>
      </c>
      <c r="C5" s="31">
        <v>275.5728211926013</v>
      </c>
      <c r="D5" s="31">
        <v>498.2952646964736</v>
      </c>
      <c r="E5" s="31">
        <v>22537.453881520345</v>
      </c>
      <c r="F5" s="31" t="s">
        <v>76</v>
      </c>
    </row>
    <row r="6" spans="1:6" x14ac:dyDescent="0.25">
      <c r="A6" s="30">
        <v>0.040102</v>
      </c>
      <c r="B6" s="31">
        <v>119.44710811435868</v>
      </c>
      <c r="C6" s="31">
        <v>137.76275258176372</v>
      </c>
      <c r="D6" s="31">
        <v>168.08285807871493</v>
      </c>
      <c r="E6" s="31">
        <v>228.23230239606474</v>
      </c>
      <c r="F6" s="31">
        <v>405.91004325744746</v>
      </c>
    </row>
    <row r="7" spans="1:6" x14ac:dyDescent="0.25">
      <c r="A7" s="30">
        <v>0.050102</v>
      </c>
      <c r="B7" s="31">
        <v>84.59919572548445</v>
      </c>
      <c r="C7" s="31">
        <v>91.37488564512235</v>
      </c>
      <c r="D7" s="32">
        <v>100.77867004222378</v>
      </c>
      <c r="E7" s="31">
        <v>114.7716183209252</v>
      </c>
      <c r="F7" s="31">
        <v>137.9118988181358</v>
      </c>
    </row>
    <row r="8" spans="1:6" x14ac:dyDescent="0.25">
      <c r="A8" s="30">
        <v>0.060102</v>
      </c>
      <c r="B8" s="31">
        <v>65.12695546466013</v>
      </c>
      <c r="C8" s="31">
        <v>68.02305423284952</v>
      </c>
      <c r="D8" s="31">
        <v>71.69543661725898</v>
      </c>
      <c r="E8" s="31">
        <v>76.53092921556647</v>
      </c>
      <c r="F8" s="31">
        <v>83.22456243206133</v>
      </c>
    </row>
    <row r="9" spans="1:6" x14ac:dyDescent="0.25">
      <c r="A9" s="30">
        <v>0.070102</v>
      </c>
      <c r="B9" s="31">
        <v>52.66280301291781</v>
      </c>
      <c r="C9" s="31">
        <v>53.91831547248007</v>
      </c>
      <c r="D9" s="31">
        <v>55.41581419388127</v>
      </c>
      <c r="E9" s="31">
        <v>57.245813214515685</v>
      </c>
      <c r="F9" s="31">
        <v>59.5503985832836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27283000000</v>
      </c>
      <c r="C5" s="18">
        <v>27376000000</v>
      </c>
      <c r="D5" s="18">
        <v>27619000000</v>
      </c>
      <c r="E5" s="18">
        <v>27661000000</v>
      </c>
      <c r="F5" s="8" t="s">
        <v>85</v>
      </c>
    </row>
    <row r="6" spans="1:6" x14ac:dyDescent="0.25">
      <c r="A6" t="s">
        <v>44</v>
      </c>
      <c r="B6" s="18">
        <v>3717000000</v>
      </c>
      <c r="C6" s="18">
        <v>3466000000</v>
      </c>
      <c r="D6" s="18">
        <v>3489000000</v>
      </c>
      <c r="E6" s="18">
        <v>3251000000</v>
      </c>
      <c r="F6" s="8" t="s">
        <v>86</v>
      </c>
    </row>
    <row r="7" spans="1:6" x14ac:dyDescent="0.25">
      <c r="A7" t="s">
        <v>87</v>
      </c>
      <c r="B7" s="18">
        <v>1355000000</v>
      </c>
      <c r="C7" s="18">
        <v>1168000000</v>
      </c>
      <c r="D7" s="18">
        <v>1611000000</v>
      </c>
      <c r="E7" s="18">
        <v>1863000000</v>
      </c>
      <c r="F7" s="8" t="s">
        <v>88</v>
      </c>
    </row>
    <row r="8" spans="1:6" x14ac:dyDescent="0.25">
      <c r="A8" t="s">
        <v>89</v>
      </c>
      <c r="B8" s="18">
        <v>1055000000</v>
      </c>
      <c r="C8" s="18">
        <v>923000000</v>
      </c>
      <c r="D8" s="18">
        <v>847000000</v>
      </c>
      <c r="E8" s="18">
        <v>873000000</v>
      </c>
      <c r="F8" s="8" t="s">
        <v>90</v>
      </c>
    </row>
    <row r="9" spans="1:6" x14ac:dyDescent="0.25">
      <c r="A9" t="s">
        <v>91</v>
      </c>
      <c r="B9" s="18">
        <v>-275000000</v>
      </c>
      <c r="C9" s="18">
        <v>-533000000</v>
      </c>
      <c r="D9" s="18">
        <v>-277000000</v>
      </c>
      <c r="E9" s="18">
        <v>-77000000</v>
      </c>
      <c r="F9" s="8" t="s">
        <v>92</v>
      </c>
    </row>
    <row r="10" spans="1:6" x14ac:dyDescent="0.25">
      <c r="A10" t="s">
        <v>93</v>
      </c>
      <c r="B10" s="18">
        <v>14418000000</v>
      </c>
      <c r="C10" s="18">
        <v>14191000000</v>
      </c>
      <c r="D10" s="18">
        <v>15601000000</v>
      </c>
      <c r="E10" s="18">
        <v>14164000000</v>
      </c>
      <c r="F10" s="8" t="s">
        <v>94</v>
      </c>
    </row>
    <row r="11" spans="1:6" x14ac:dyDescent="0.25">
      <c r="A11" t="s">
        <v>95</v>
      </c>
      <c r="B11" s="18">
        <v>6571000000</v>
      </c>
      <c r="C11" s="18">
        <v>6160000000</v>
      </c>
      <c r="D11" s="18">
        <v>6001000000</v>
      </c>
      <c r="E11" s="18">
        <v>4682000000</v>
      </c>
      <c r="F11" s="8" t="s">
        <v>96</v>
      </c>
    </row>
    <row r="12" spans="1:6" x14ac:dyDescent="0.25">
      <c r="A12" t="s">
        <v>32</v>
      </c>
      <c r="B12" s="34">
        <v>645130545</v>
      </c>
      <c r="C12" s="34">
        <v>644436743</v>
      </c>
      <c r="D12" s="34">
        <v>641738674</v>
      </c>
      <c r="E12" s="34">
        <v>639484607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2026-09-19T00:07:45Z</dcterms:modified>
</cp:coreProperties>
</file>