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<sst xmlns="http://schemas.openxmlformats.org/spreadsheetml/2006/main" count="114" uniqueCount="102">
  <si>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Keppel Ltd. (BN4.SI)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</si>
  <si>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</si>
  <si>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</si>
  <si>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</si>
  <si>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</si>
  <si>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</si>
  <si>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</si>
  <si>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</si>
  <si>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</si>
  <si>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</si>
  <si>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</si>
  <si>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</si>
  <si>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</si>
  <si>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</si>
  <si>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</si>
  <si>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</si>
  <si>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</si>
  <si>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</si>
  <si>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</si>
  <si>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</si>
  <si>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</si>
  <si>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</si>
  <si>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</si>
  <si>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</si>
  <si>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</si>
  <si>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</si>
  <si>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</si>
  <si>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</si>
  <si>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</si>
  <si>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</si>
  <si>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</si>
  <si>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</si>
  <si>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</si>
  <si>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</si>
  <si>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</si>
  <si>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</si>
  <si>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</si>
  <si>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</si>
  <si>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</si>
  <si>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</si>
  <si>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</si>
  <si>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</si>
  <si>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</si>
  <si>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</si>
  <si>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</si>
  <si>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</si>
  <si>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</si>
  <si>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</si>
  <si>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</si>
  <si>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</si>
  <si>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</si>
  <si>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</si>
  <si>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</si>
  <si>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</si>
  <si>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</si>
  <si>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</si>
  <si>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</si>
  <si>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</si>
  <si>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</si>
  <si>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</si>
  <si>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</si>
  <si>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</si>
  <si>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</si>
  <si>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</si>
  <si>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</si>
  <si>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</si>
  <si>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</si>
  <si>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</si>
  <si>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</si>
  <si>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</si>
  <si>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</si>
  <si>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</si>
  <si>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</si>
  <si>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</si>
  <si>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</si>
  <si>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</si>
  <si>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</si>
  <si>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</si>
  <si>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</si>
  <si>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</si>
  <si>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</si>
  <si>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</si>
  <si>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</si>
  <si>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</si>
  <si>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</si>
  <si>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</si>
  <si>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</si>
  <si>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</si>
  <si>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</si>
  <si>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</si>
  <si>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</si>
  <si>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</si>
  <si>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</si>
  <si>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</si>
  <si>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</si>
  <si>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</si>
  <si>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</si>
  <si>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</si>
  <si>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10.7% of revenue against depreciation of 3.6%.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</si>
  <si>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</si>
  <si>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21.8x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</si>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</sst>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-0.033149060806330954</v>
      </c>
    </row>
    <row r="7" spans="1:2" x14ac:dyDescent="0.25">
      <c r="A7" t="s">
        <v>5</v>
      </c>
      <c r="B7" s="6">
        <v>0.16036708577995396</v>
      </c>
    </row>
    <row r="8" spans="1:2" x14ac:dyDescent="0.25">
      <c r="A8" t="s">
        <v>6</v>
      </c>
      <c r="B8" s="6">
        <v>0.2279805503961011</v>
      </c>
    </row>
    <row r="9" spans="1:2" x14ac:dyDescent="0.25">
      <c r="A9" t="s">
        <v>7</v>
      </c>
      <c r="B9" s="6">
        <v>0.03626251859336705</v>
      </c>
    </row>
    <row r="10" spans="1:2" x14ac:dyDescent="0.25">
      <c r="A10" t="s">
        <v>8</v>
      </c>
      <c r="B10" s="6">
        <v>0.1072484729004107</v>
      </c>
    </row>
    <row r="11" spans="1:2" x14ac:dyDescent="0.25">
      <c r="A11" t="s">
        <v>9</v>
      </c>
      <c r="B11" s="6">
        <v>-0.214205588501527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0.06639841078861453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0.6777299999999999</v>
      </c>
      <c r="C19" s="8" t="s">
        <v>19</v>
      </c>
    </row>
    <row r="20" spans="1:2" x14ac:dyDescent="0.25">
      <c r="A20" t="s">
        <v>20</v>
      </c>
      <c r="B20" s="10">
        <f>B17+B19*B18</f>
        <v>0.08605245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19767982080</v>
      </c>
    </row>
    <row r="23" spans="1:2" x14ac:dyDescent="0.25">
      <c r="A23" t="s">
        <v>24</v>
      </c>
      <c r="B23" s="11">
        <v>11435961000</v>
      </c>
    </row>
    <row r="24" spans="1:2" x14ac:dyDescent="0.25">
      <c r="A24" t="s">
        <v>25</v>
      </c>
      <c r="B24" s="10">
        <f>B22/(B22+B23)</f>
        <v>0.6335091058626556</v>
      </c>
    </row>
    <row r="25" spans="1:2" x14ac:dyDescent="0.25">
      <c r="A25" t="s">
        <v>26</v>
      </c>
      <c r="B25" s="10">
        <f>1-B24</f>
        <v>0.36649089413734437</v>
      </c>
    </row>
    <row r="26" spans="1:2" x14ac:dyDescent="0.25">
      <c r="A26" t="s">
        <v>27</v>
      </c>
      <c r="B26" s="12">
        <f>B24*B20+B25*B21*(1-B8)</f>
        <v>0.06639841078861453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5982987000</v>
      </c>
      <c r="C29" s="8" t="s">
        <v>30</v>
      </c>
    </row>
    <row r="30" spans="1:2" x14ac:dyDescent="0.25">
      <c r="A30" t="s">
        <v>31</v>
      </c>
      <c r="B30" s="11">
        <v>10096390000</v>
      </c>
    </row>
    <row r="31" spans="1:2" x14ac:dyDescent="0.25">
      <c r="A31" t="s">
        <v>32</v>
      </c>
      <c r="B31" s="13">
        <v>1828944000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-0.033149060806330954</v>
      </c>
      <c r="C5" s="10">
        <f>Assumptions!B6</f>
        <v>-0.033149060806330954</v>
      </c>
      <c r="D5" s="10">
        <f>Assumptions!B6</f>
        <v>-0.033149060806330954</v>
      </c>
      <c r="E5" s="10">
        <f>Assumptions!B6</f>
        <v>-0.033149060806330954</v>
      </c>
      <c r="F5" s="10">
        <f>Assumptions!B6</f>
        <v>-0.033149060806330954</v>
      </c>
    </row>
    <row r="6" spans="1:6" x14ac:dyDescent="0.25">
      <c r="A6" t="s">
        <v>43</v>
      </c>
      <c r="B6" s="18">
        <f>Assumptions!B29*(1+B5)</f>
        <v>5784656600.1335125</v>
      </c>
      <c r="C6" s="18">
        <f>B6*(1+C5)</f>
        <v>5592900666.751943</v>
      </c>
      <c r="D6" s="18">
        <f>C6*(1+D5)</f>
        <v>5407501262.466014</v>
      </c>
      <c r="E6" s="18">
        <f>D6*(1+E5)</f>
        <v>5228247674.306216</v>
      </c>
      <c r="F6" s="18">
        <f>E6*(1+F5)</f>
        <v>5054936174.240081</v>
      </c>
    </row>
    <row r="7" spans="1:6" x14ac:dyDescent="0.25">
      <c r="A7" t="s">
        <v>5</v>
      </c>
      <c r="B7" s="10">
        <f>Assumptions!B7</f>
        <v>0.16036708577995396</v>
      </c>
      <c r="C7" s="10">
        <f>Assumptions!B7</f>
        <v>0.16036708577995396</v>
      </c>
      <c r="D7" s="10">
        <f>Assumptions!B7</f>
        <v>0.16036708577995396</v>
      </c>
      <c r="E7" s="10">
        <f>Assumptions!B7</f>
        <v>0.16036708577995396</v>
      </c>
      <c r="F7" s="10">
        <f>Assumptions!B7</f>
        <v>0.16036708577995396</v>
      </c>
    </row>
    <row r="8" spans="1:6" x14ac:dyDescent="0.25">
      <c r="A8" t="s">
        <v>44</v>
      </c>
      <c r="B8" s="18">
        <f>B6*B7</f>
        <v>927668521.2011878</v>
      </c>
      <c r="C8" s="18">
        <f>C6*C7</f>
        <v>896917180.9837705</v>
      </c>
      <c r="D8" s="18">
        <f>D6*D7</f>
        <v>867185218.8130965</v>
      </c>
      <c r="E8" s="18">
        <f>E6*E7</f>
        <v>838438843.2643098</v>
      </c>
      <c r="F8" s="18">
        <f>F6*F7</f>
        <v>810645383.0665513</v>
      </c>
    </row>
    <row r="9" spans="1:6" x14ac:dyDescent="0.25">
      <c r="A9" t="s">
        <v>45</v>
      </c>
      <c r="B9" s="18">
        <f>B8*(1-Assumptions!B8)</f>
        <v>716178141.1526039</v>
      </c>
      <c r="C9" s="18">
        <f>C8*(1-Assumptions!B8)</f>
        <v>692437508.4033711</v>
      </c>
      <c r="D9" s="18">
        <f>D8*(1-Assumptions!B8)</f>
        <v>669483855.3327234</v>
      </c>
      <c r="E9" s="18">
        <f>E8*(1-Assumptions!B8)</f>
        <v>647291094.3034421</v>
      </c>
      <c r="F9" s="18">
        <f>F8*(1-Assumptions!B8)</f>
        <v>625834002.4589808</v>
      </c>
    </row>
    <row r="10" spans="1:6" x14ac:dyDescent="0.25">
      <c r="A10" t="s">
        <v>46</v>
      </c>
      <c r="B10" s="18">
        <f>B6*Assumptions!B9</f>
        <v>209766217.51858494</v>
      </c>
      <c r="C10" s="18">
        <f>C6*Assumptions!B9</f>
        <v>202812664.41894728</v>
      </c>
      <c r="D10" s="18">
        <f>D6*Assumptions!B9</f>
        <v>196089615.07382962</v>
      </c>
      <c r="E10" s="18">
        <f>E6*Assumptions!B9</f>
        <v>189589428.5002572</v>
      </c>
      <c r="F10" s="18">
        <f>F6*Assumptions!B9</f>
        <v>183304717.00666463</v>
      </c>
    </row>
    <row r="11" spans="1:6" x14ac:dyDescent="0.25">
      <c r="A11" t="s">
        <v>47</v>
      </c>
      <c r="B11" s="18">
        <f>-B6*Assumptions!B10</f>
        <v>-620395586.6176009</v>
      </c>
      <c r="C11" s="18">
        <f>-C6*Assumptions!B10</f>
        <v>-599830055.5928347</v>
      </c>
      <c r="D11" s="18">
        <f>-D6*Assumptions!B10</f>
        <v>-579946252.6065229</v>
      </c>
      <c r="E11" s="18">
        <f>-E6*Assumptions!B10</f>
        <v>-560721579.0144655</v>
      </c>
      <c r="F11" s="18">
        <f>-F6*Assumptions!B10</f>
        <v>-542134185.296293</v>
      </c>
    </row>
    <row r="12" spans="1:6" x14ac:dyDescent="0.25">
      <c r="A12" t="s">
        <v>48</v>
      </c>
      <c r="B12" s="18">
        <f>-(B6-Assumptions!B29)*Assumptions!B11</f>
        <v>-42483480.02114412</v>
      </c>
      <c r="C12" s="18">
        <f>-(C6-B6)*Assumptions!B11</f>
        <v>-41075192.55865878</v>
      </c>
      <c r="D12" s="18">
        <f>-(D6-C6)*Assumptions!B11</f>
        <v>-39713588.502899885</v>
      </c>
      <c r="E12" s="18">
        <f>-(E6-D6)*Assumptions!B11</f>
        <v>-38397120.34277981</v>
      </c>
      <c r="F12" s="18">
        <f>-(F6-E6)*Assumptions!B11</f>
        <v>-37124291.86574897</v>
      </c>
    </row>
    <row r="13" spans="1:6" x14ac:dyDescent="0.25">
      <c r="A13" s="19" t="s">
        <v>49</v>
      </c>
      <c r="B13" s="20">
        <f>B9+B10+B11+B12</f>
        <v>263065292.0324438</v>
      </c>
      <c r="C13" s="20">
        <f>C9+C10+C11+C12</f>
        <v>254344924.67082483</v>
      </c>
      <c r="D13" s="20">
        <f>D9+D10+D11+D12</f>
        <v>245913629.29713023</v>
      </c>
      <c r="E13" s="20">
        <f>E9+E10+E11+E12</f>
        <v>237761823.446454</v>
      </c>
      <c r="F13" s="20">
        <f>F9+F10+F11+F12</f>
        <v>229880242.30360344</v>
      </c>
    </row>
    <row r="14" spans="1:6" x14ac:dyDescent="0.25">
      <c r="A14" t="s">
        <v>50</v>
      </c>
      <c r="B14" s="21">
        <f>1/(1+Assumptions!$B$26)^(1-0.5*Assumptions!$B$32)</f>
        <v>0.968367611538588</v>
      </c>
      <c r="C14" s="21">
        <f>1/(1+Assumptions!$B$26)^(2-0.5*Assumptions!$B$32)</f>
        <v>0.9080730069941387</v>
      </c>
      <c r="D14" s="21">
        <f>1/(1+Assumptions!$B$26)^(3-0.5*Assumptions!$B$32)</f>
        <v>0.8515325958921935</v>
      </c>
      <c r="E14" s="21">
        <f>1/(1+Assumptions!$B$26)^(4-0.5*Assumptions!$B$32)</f>
        <v>0.7985126264980784</v>
      </c>
      <c r="F14" s="21">
        <f>1/(1+Assumptions!$B$26)^(5-0.5*Assumptions!$B$32)</f>
        <v>0.7487939014346136</v>
      </c>
    </row>
    <row r="15" spans="1:6" x14ac:dyDescent="0.25">
      <c r="A15" s="19" t="s">
        <v>51</v>
      </c>
      <c r="B15" s="20">
        <f>B13*B14</f>
        <v>254743908.52415872</v>
      </c>
      <c r="C15" s="20">
        <f>C13*C14</f>
        <v>230963760.5595336</v>
      </c>
      <c r="D15" s="20">
        <f>D13*D14</f>
        <v>209403471.1206559</v>
      </c>
      <c r="E15" s="20">
        <f>E13*E14</f>
        <v>189855818.12120038</v>
      </c>
      <c r="F15" s="20">
        <f>F13*F14</f>
        <v>172132923.4972495</v>
      </c>
    </row>
    <row r="17" spans="1:2" x14ac:dyDescent="0.25">
      <c r="A17" s="22" t="s">
        <v>52</v>
      </c>
      <c r="B17" s="23">
        <f>SUM(B15:F15)</f>
        <v>1057099881.8227981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229880242.30360344</v>
      </c>
    </row>
    <row r="5" spans="1:2" x14ac:dyDescent="0.25">
      <c r="A5" t="s">
        <v>56</v>
      </c>
      <c r="B5" s="18">
        <f>IF(Assumptions!$B$33=0,B4,B4-Forecast!F11-Forecast!F10-Forecast!F12)</f>
        <v>632603185.051386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0.37651503557200805</v>
      </c>
    </row>
    <row r="7" spans="1:2" x14ac:dyDescent="0.25">
      <c r="A7" t="s">
        <v>58</v>
      </c>
      <c r="B7" s="18">
        <f>-MAX(Forecast!F9,0)*B6</f>
        <v>-238184610.72258818</v>
      </c>
    </row>
    <row r="8" spans="1:2" x14ac:dyDescent="0.25">
      <c r="A8" t="s">
        <v>59</v>
      </c>
      <c r="B8" s="18">
        <f>IF(OR(Assumptions!$B$33=0,Assumptions!B12&lt;=0),B5,MAX(B5+B7,0))</f>
        <v>394418574.3287978</v>
      </c>
    </row>
    <row r="9" spans="1:2" x14ac:dyDescent="0.25">
      <c r="A9" t="s">
        <v>60</v>
      </c>
      <c r="B9" s="18">
        <f>B8*(1+Assumptions!B12)/(Assumptions!B26-Assumptions!B12)</f>
        <v>9765569039.626116</v>
      </c>
    </row>
    <row r="10" spans="1:2" x14ac:dyDescent="0.25">
      <c r="A10" t="s">
        <v>61</v>
      </c>
      <c r="B10" s="18">
        <f>B9/(1+Assumptions!B26)^(5-0.5*Assumptions!B32)</f>
        <v>7312398540.910711</v>
      </c>
    </row>
    <row r="11" spans="1:2" x14ac:dyDescent="0.25">
      <c r="A11" t="s">
        <v>62</v>
      </c>
      <c r="B11" s="18">
        <f>Forecast!B17+B10</f>
        <v>8369498422.733509</v>
      </c>
    </row>
    <row r="12" spans="1:2" x14ac:dyDescent="0.25">
      <c r="A12" t="s">
        <v>63</v>
      </c>
      <c r="B12" s="18">
        <f>-Assumptions!B30</f>
        <v>-10096390000</v>
      </c>
    </row>
    <row r="13" spans="1:2" x14ac:dyDescent="0.25">
      <c r="A13" t="s">
        <v>64</v>
      </c>
      <c r="B13" s="18">
        <f>B11+B12</f>
        <v>-1726891577.266491</v>
      </c>
    </row>
    <row r="14" spans="1:2" x14ac:dyDescent="0.25">
      <c r="A14" s="19" t="s">
        <v>65</v>
      </c>
      <c r="B14" s="24">
        <f>B13/Assumptions!B31</f>
        <v>-0.9442014502721193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993950100.073216</v>
      </c>
    </row>
    <row r="18" spans="1:2" x14ac:dyDescent="0.25">
      <c r="A18" t="s">
        <v>60</v>
      </c>
      <c r="B18" s="18">
        <f>B17*Assumptions!B13</f>
        <v>19879002001.464317</v>
      </c>
    </row>
    <row r="19" spans="1:2" x14ac:dyDescent="0.25">
      <c r="A19" t="s">
        <v>61</v>
      </c>
      <c r="B19" s="18">
        <f>B18/(1+Assumptions!B26)^(5-0.5*Assumptions!B32)</f>
        <v>14885275465.302958</v>
      </c>
    </row>
    <row r="20" spans="1:2" x14ac:dyDescent="0.25">
      <c r="A20" t="s">
        <v>62</v>
      </c>
      <c r="B20" s="18">
        <f>Forecast!B17+B19</f>
        <v>15942375347.125755</v>
      </c>
    </row>
    <row r="21" spans="1:2" x14ac:dyDescent="0.25">
      <c r="A21" t="s">
        <v>63</v>
      </c>
      <c r="B21" s="18">
        <f>-Assumptions!B30</f>
        <v>-10096390000</v>
      </c>
    </row>
    <row r="22" spans="1:2" x14ac:dyDescent="0.25">
      <c r="A22" t="s">
        <v>64</v>
      </c>
      <c r="B22" s="18">
        <f>B20+B21</f>
        <v>5845985347.125755</v>
      </c>
    </row>
    <row r="23" spans="1:2" x14ac:dyDescent="0.25">
      <c r="A23" s="19" t="s">
        <v>65</v>
      </c>
      <c r="B23" s="25">
        <f>B22/Assumptions!B31</f>
        <v>3.1963719759193037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11.03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-0.9442014502721193</v>
      </c>
    </row>
    <row r="29" spans="1:2" x14ac:dyDescent="0.25">
      <c r="A29" s="19" t="s">
        <v>73</v>
      </c>
      <c r="B29" s="12">
        <f>B28/B26-1</f>
        <v>-1.0856030326629302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0.046398</v>
      </c>
      <c r="B5" s="31">
        <v>1.2533060979737893</v>
      </c>
      <c r="C5" s="31">
        <v>1.2836985441157325</v>
      </c>
      <c r="D5" s="31">
        <v>1.3140909902576725</v>
      </c>
      <c r="E5" s="31">
        <v>1.3444834363996128</v>
      </c>
      <c r="F5" s="31">
        <v>1.374875882541556</v>
      </c>
    </row>
    <row r="6" spans="1:6" x14ac:dyDescent="0.25">
      <c r="A6" s="30">
        <v>0.056398</v>
      </c>
      <c r="B6" s="31">
        <v>-0.06655856615334095</v>
      </c>
      <c r="C6" s="31">
        <v>-0.04260262703084634</v>
      </c>
      <c r="D6" s="31">
        <v>-0.018646687908349644</v>
      </c>
      <c r="E6" s="31">
        <v>0.005309251214144966</v>
      </c>
      <c r="F6" s="31">
        <v>0.029265190336640618</v>
      </c>
    </row>
    <row r="7" spans="1:6" x14ac:dyDescent="0.25">
      <c r="A7" s="30">
        <v>0.066398</v>
      </c>
      <c r="B7" s="31">
        <v>-0.9831759537150455</v>
      </c>
      <c r="C7" s="31">
        <v>-0.963672612278005</v>
      </c>
      <c r="D7" s="32">
        <v>-0.9441692708409661</v>
      </c>
      <c r="E7" s="31">
        <v>-0.9246659294039246</v>
      </c>
      <c r="F7" s="31">
        <v>-0.9051625879668851</v>
      </c>
    </row>
    <row r="8" spans="1:6" x14ac:dyDescent="0.25">
      <c r="A8" s="30">
        <v>0.076398</v>
      </c>
      <c r="B8" s="31">
        <v>-1.6551908687799848</v>
      </c>
      <c r="C8" s="31">
        <v>-1.6389375890002396</v>
      </c>
      <c r="D8" s="31">
        <v>-1.6226843092204963</v>
      </c>
      <c r="E8" s="31">
        <v>-1.6064310294407511</v>
      </c>
      <c r="F8" s="31">
        <v>-1.5901777496610079</v>
      </c>
    </row>
    <row r="9" spans="1:6" x14ac:dyDescent="0.25">
      <c r="A9" s="30">
        <v>0.086398</v>
      </c>
      <c r="B9" s="31">
        <v>-2.16778178523952</v>
      </c>
      <c r="C9" s="31">
        <v>-2.1539955091138347</v>
      </c>
      <c r="D9" s="31">
        <v>-2.140209232988151</v>
      </c>
      <c r="E9" s="31">
        <v>-2.126422956862466</v>
      </c>
      <c r="F9" s="31">
        <v>-2.112636680736781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5982987000</v>
      </c>
      <c r="C5" s="18">
        <v>5784058000</v>
      </c>
      <c r="D5" s="18">
        <v>6966128000</v>
      </c>
      <c r="E5" s="18">
        <v>6619718000</v>
      </c>
      <c r="F5" s="8" t="s">
        <v>84</v>
      </c>
    </row>
    <row r="6" spans="1:6" x14ac:dyDescent="0.25">
      <c r="A6" t="s">
        <v>44</v>
      </c>
      <c r="B6" s="18">
        <v>1122521000</v>
      </c>
      <c r="C6" s="18">
        <v>1145648000</v>
      </c>
      <c r="D6" s="18">
        <v>1187009000</v>
      </c>
      <c r="E6" s="18">
        <v>565207000</v>
      </c>
      <c r="F6" s="8" t="s">
        <v>85</v>
      </c>
    </row>
    <row r="7" spans="1:6" x14ac:dyDescent="0.25">
      <c r="A7" t="s">
        <v>86</v>
      </c>
      <c r="B7" s="18">
        <v>244308000</v>
      </c>
      <c r="C7" s="18">
        <v>207516000</v>
      </c>
      <c r="D7" s="18">
        <v>221440000</v>
      </c>
      <c r="E7" s="18">
        <v>241957000</v>
      </c>
      <c r="F7" s="8" t="s">
        <v>87</v>
      </c>
    </row>
    <row r="8" spans="1:6" x14ac:dyDescent="0.25">
      <c r="A8" t="s">
        <v>88</v>
      </c>
      <c r="B8" s="18">
        <v>513879000</v>
      </c>
      <c r="C8" s="18">
        <v>611418000</v>
      </c>
      <c r="D8" s="18">
        <v>921090000</v>
      </c>
      <c r="E8" s="18">
        <v>696211000</v>
      </c>
      <c r="F8" s="8" t="s">
        <v>89</v>
      </c>
    </row>
    <row r="9" spans="1:6" x14ac:dyDescent="0.25">
      <c r="A9" t="s">
        <v>90</v>
      </c>
      <c r="B9" s="18">
        <v>-281886000</v>
      </c>
      <c r="C9" s="18">
        <v>253206000</v>
      </c>
      <c r="D9" s="18">
        <v>397686000</v>
      </c>
      <c r="E9" s="18">
        <v>-503912000</v>
      </c>
      <c r="F9" s="8" t="s">
        <v>91</v>
      </c>
    </row>
    <row r="10" spans="1:6" x14ac:dyDescent="0.25">
      <c r="A10" t="s">
        <v>92</v>
      </c>
      <c r="B10" s="18">
        <v>11435961000</v>
      </c>
      <c r="C10" s="18">
        <v>12072148000</v>
      </c>
      <c r="D10" s="18">
        <v>11139101000</v>
      </c>
      <c r="E10" s="18">
        <v>10379973000</v>
      </c>
      <c r="F10" s="8" t="s">
        <v>93</v>
      </c>
    </row>
    <row r="11" spans="1:6" x14ac:dyDescent="0.25">
      <c r="A11" t="s">
        <v>94</v>
      </c>
      <c r="B11" s="18">
        <v>1339571000</v>
      </c>
      <c r="C11" s="18">
        <v>2452615000</v>
      </c>
      <c r="D11" s="18">
        <v>1232068000</v>
      </c>
      <c r="E11" s="18">
        <v>1076225000</v>
      </c>
      <c r="F11" s="8" t="s">
        <v>95</v>
      </c>
    </row>
    <row r="12" spans="1:6" x14ac:dyDescent="0.25">
      <c r="A12" t="s">
        <v>32</v>
      </c>
      <c r="B12" s="34">
        <v>1828944000</v>
      </c>
      <c r="C12" s="34">
        <v>1817252000</v>
      </c>
      <c r="D12" s="34">
        <v>1841566000</v>
      </c>
      <c r="E12" s="34">
        <v>1795294000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