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<sst xmlns="http://schemas.openxmlformats.org/spreadsheetml/2006/main" count="115" uniqueCount="103">
  <si>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BNP Paribas SA (BNP.PA)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</si>
  <si>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</si>
  <si>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</si>
  <si>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</si>
  <si>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</si>
  <si>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</si>
  <si>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</si>
  <si>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</si>
  <si>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</si>
  <si>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</si>
  <si>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</si>
  <si>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</si>
  <si>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</si>
  <si>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</si>
  <si>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</si>
  <si>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</si>
  <si>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</si>
  <si>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</si>
  <si>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</si>
  <si>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</si>
  <si>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</si>
  <si>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</si>
  <si>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12.9%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</si>
  <si>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</si>
  <si>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</si>
  <si>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</si>
  <si>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</si>
  <si>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</si>
  <si>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</si>
  <si>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</si>
  <si>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</si>
  <si>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</si>
  <si>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</si>
  <si>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</si>
  <si>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</si>
  <si>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</si>
  <si>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</si>
  <si>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</si>
  <si>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</si>
  <si>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</si>
  <si>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</si>
  <si>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</si>
  <si>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</si>
  <si>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</si>
  <si>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</si>
  <si>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</si>
  <si>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</si>
  <si>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</si>
  <si>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</si>
  <si>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</si>
  <si>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</si>
  <si>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</si>
  <si>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</si>
  <si>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</si>
  <si>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</si>
  <si>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</si>
  <si>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</si>
  <si>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</si>
  <si>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</si>
  <si>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</si>
  <si>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</si>
  <si>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</si>
  <si>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</si>
  <si>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</si>
  <si>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</si>
  <si>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</si>
  <si>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</si>
  <si>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</si>
  <si>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</si>
  <si>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</si>
  <si>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</si>
  <si>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</si>
  <si>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</si>
  <si>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</si>
  <si>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</si>
  <si>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</si>
  <si>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</si>
  <si>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</si>
  <si>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</si>
  <si>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</si>
  <si>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</si>
  <si>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</si>
  <si>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</si>
  <si>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</si>
  <si>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</si>
  <si>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</si>
  <si>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</si>
  <si>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</si>
  <si>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</si>
  <si>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</si>
  <si>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</si>
  <si>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</si>
  <si>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</si>
  <si>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</si>
  <si>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</si>
  <si>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</si>
  <si>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</si>
  <si>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</si>
  <si>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</si>
  <si>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</si>
  <si>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3.88% of revenue against depreciation of 11.11%. A business cannot depreciate more than it invests indefinitely. Capex has been set to 11.11%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</si>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</sst>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0.06179301744914922</v>
      </c>
    </row>
    <row r="7" spans="1:2" x14ac:dyDescent="0.25">
      <c r="A7" t="s">
        <v>5</v>
      </c>
      <c r="B7" s="6">
        <v>0.2299911015426946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0.11112395044164411</v>
      </c>
    </row>
    <row r="10" spans="1:2" x14ac:dyDescent="0.25">
      <c r="A10" t="s">
        <v>8</v>
      </c>
      <c r="B10" s="6">
        <v>0.11112395044164411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7.242835936305733</v>
      </c>
    </row>
    <row r="14" spans="1:3" x14ac:dyDescent="0.25">
      <c r="A14" t="s">
        <v>12</v>
      </c>
      <c r="B14" s="6">
        <v>0.050478430751866685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1.02345</v>
      </c>
      <c r="C19" s="8" t="s">
        <v>19</v>
      </c>
    </row>
    <row r="20" spans="1:2" x14ac:dyDescent="0.25">
      <c r="A20" t="s">
        <v>20</v>
      </c>
      <c r="B20" s="10">
        <f>B17+B19*B18</f>
        <v>0.09340699999999999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110411038720</v>
      </c>
    </row>
    <row r="23" spans="1:2" x14ac:dyDescent="0.25">
      <c r="A23" t="s">
        <v>24</v>
      </c>
      <c r="B23" s="11">
        <v>398488000000</v>
      </c>
    </row>
    <row r="24" spans="1:2" x14ac:dyDescent="0.25">
      <c r="A24" t="s">
        <v>25</v>
      </c>
      <c r="B24" s="10">
        <f>B22/(B22+B23)</f>
        <v>0.21696059595182093</v>
      </c>
    </row>
    <row r="25" spans="1:2" x14ac:dyDescent="0.25">
      <c r="A25" t="s">
        <v>26</v>
      </c>
      <c r="B25" s="10">
        <f>1-B24</f>
        <v>0.7830394040481791</v>
      </c>
    </row>
    <row r="26" spans="1:2" x14ac:dyDescent="0.25">
      <c r="A26" t="s">
        <v>27</v>
      </c>
      <c r="B26" s="12">
        <f>B24*B20+B25*B21*(1-B8)</f>
        <v>0.050478430751866685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68804000000</v>
      </c>
      <c r="C29" s="8" t="s">
        <v>30</v>
      </c>
    </row>
    <row r="30" spans="1:2" x14ac:dyDescent="0.25">
      <c r="A30" t="s">
        <v>31</v>
      </c>
      <c r="B30" s="11">
        <v>71529000000</v>
      </c>
    </row>
    <row r="31" spans="1:2" x14ac:dyDescent="0.25">
      <c r="A31" t="s">
        <v>32</v>
      </c>
      <c r="B31" s="13">
        <v>1188046647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0.06179301744914922</v>
      </c>
      <c r="C5" s="10">
        <f>Assumptions!B6</f>
        <v>0.06179301744914922</v>
      </c>
      <c r="D5" s="10">
        <f>Assumptions!B6</f>
        <v>0.06179301744914922</v>
      </c>
      <c r="E5" s="10">
        <f>Assumptions!B6</f>
        <v>0.06179301744914922</v>
      </c>
      <c r="F5" s="10">
        <f>Assumptions!B6</f>
        <v>0.06179301744914922</v>
      </c>
    </row>
    <row r="6" spans="1:6" x14ac:dyDescent="0.25">
      <c r="A6" t="s">
        <v>43</v>
      </c>
      <c r="B6" s="18">
        <f>Assumptions!B29*(1+B5)</f>
        <v>73055606772.57126</v>
      </c>
      <c r="C6" s="18">
        <f>B6*(1+C5)</f>
        <v>77569933156.62694</v>
      </c>
      <c r="D6" s="18">
        <f>C6*(1+D5)</f>
        <v>82363213389.70372</v>
      </c>
      <c r="E6" s="18">
        <f>D6*(1+E5)</f>
        <v>87452684871.86168</v>
      </c>
      <c r="F6" s="18">
        <f>E6*(1+F5)</f>
        <v>92856650154.12358</v>
      </c>
    </row>
    <row r="7" spans="1:6" x14ac:dyDescent="0.25">
      <c r="A7" t="s">
        <v>5</v>
      </c>
      <c r="B7" s="10">
        <f>Assumptions!B7</f>
        <v>0.2299911015426946</v>
      </c>
      <c r="C7" s="10">
        <f>Assumptions!B7</f>
        <v>0.2299911015426946</v>
      </c>
      <c r="D7" s="10">
        <f>Assumptions!B7</f>
        <v>0.2299911015426946</v>
      </c>
      <c r="E7" s="10">
        <f>Assumptions!B7</f>
        <v>0.2299911015426946</v>
      </c>
      <c r="F7" s="10">
        <f>Assumptions!B7</f>
        <v>0.2299911015426946</v>
      </c>
    </row>
    <row r="8" spans="1:6" x14ac:dyDescent="0.25">
      <c r="A8" t="s">
        <v>44</v>
      </c>
      <c r="B8" s="18">
        <f>B6*B7</f>
        <v>16802139475.493603</v>
      </c>
      <c r="C8" s="18">
        <f>C6*C7</f>
        <v>17840394373.285816</v>
      </c>
      <c r="D8" s="18">
        <f>D6*D7</f>
        <v>18942806174.09397</v>
      </c>
      <c r="E8" s="18">
        <f>E6*E7</f>
        <v>20113339326.54561</v>
      </c>
      <c r="F8" s="18">
        <f>F6*F7</f>
        <v>21356203254.511505</v>
      </c>
    </row>
    <row r="9" spans="1:6" x14ac:dyDescent="0.25">
      <c r="A9" t="s">
        <v>45</v>
      </c>
      <c r="B9" s="18">
        <f>B8*(1-Assumptions!B8)</f>
        <v>12467187490.816254</v>
      </c>
      <c r="C9" s="18">
        <f>C8*(1-Assumptions!B8)</f>
        <v>13237572624.978075</v>
      </c>
      <c r="D9" s="18">
        <f>D8*(1-Assumptions!B8)</f>
        <v>14055562181.177727</v>
      </c>
      <c r="E9" s="18">
        <f>E8*(1-Assumptions!B8)</f>
        <v>14924097780.29684</v>
      </c>
      <c r="F9" s="18">
        <f>F8*(1-Assumptions!B8)</f>
        <v>15846302814.847536</v>
      </c>
    </row>
    <row r="10" spans="1:6" x14ac:dyDescent="0.25">
      <c r="A10" t="s">
        <v>46</v>
      </c>
      <c r="B10" s="18">
        <f>B6*Assumptions!B9</f>
        <v>8118227626.479448</v>
      </c>
      <c r="C10" s="18">
        <f>C6*Assumptions!B9</f>
        <v>8619877407.858658</v>
      </c>
      <c r="D10" s="18">
        <f>D6*Assumptions!B9</f>
        <v>9152525642.931995</v>
      </c>
      <c r="E10" s="18">
        <f>E6*Assumptions!B9</f>
        <v>9718087819.689476</v>
      </c>
      <c r="F10" s="18">
        <f>F6*Assumptions!B9</f>
        <v>10318597789.903913</v>
      </c>
    </row>
    <row r="11" spans="1:6" x14ac:dyDescent="0.25">
      <c r="A11" t="s">
        <v>47</v>
      </c>
      <c r="B11" s="18">
        <f>-B6*Assumptions!B10</f>
        <v>-8118227626.479448</v>
      </c>
      <c r="C11" s="18">
        <f>-C6*Assumptions!B10</f>
        <v>-8619877407.858658</v>
      </c>
      <c r="D11" s="18">
        <f>-D6*Assumptions!B10</f>
        <v>-9152525642.931995</v>
      </c>
      <c r="E11" s="18">
        <f>-E6*Assumptions!B10</f>
        <v>-9718087819.689476</v>
      </c>
      <c r="F11" s="18">
        <f>-F6*Assumptions!B10</f>
        <v>-10318597789.903913</v>
      </c>
    </row>
    <row r="12" spans="1:6" x14ac:dyDescent="0.25">
      <c r="A12" t="s">
        <v>48</v>
      </c>
      <c r="B12" s="18">
        <f>-(B6-Assumptions!B29)*Assumptions!B11</f>
        <v>-4251606772.5712585</v>
      </c>
      <c r="C12" s="18">
        <f>-(C6-B6)*Assumptions!B11</f>
        <v>-4514326384.055679</v>
      </c>
      <c r="D12" s="18">
        <f>-(D6-C6)*Assumptions!B11</f>
        <v>-4793280233.076782</v>
      </c>
      <c r="E12" s="18">
        <f>-(E6-D6)*Assumptions!B11</f>
        <v>-5089471482.157959</v>
      </c>
      <c r="F12" s="18">
        <f>-(F6-E6)*Assumptions!B11</f>
        <v>-5403965282.261902</v>
      </c>
    </row>
    <row r="13" spans="1:6" x14ac:dyDescent="0.25">
      <c r="A13" s="19" t="s">
        <v>49</v>
      </c>
      <c r="B13" s="20">
        <f>B9+B10+B11+B12</f>
        <v>8215580718.244993</v>
      </c>
      <c r="C13" s="20">
        <f>C9+C10+C11+C12</f>
        <v>8723246240.922394</v>
      </c>
      <c r="D13" s="20">
        <f>D9+D10+D11+D12</f>
        <v>9262281948.100945</v>
      </c>
      <c r="E13" s="20">
        <f>E9+E10+E11+E12</f>
        <v>9834626298.138882</v>
      </c>
      <c r="F13" s="20">
        <f>F9+F10+F11+F12</f>
        <v>10442337532.585634</v>
      </c>
    </row>
    <row r="14" spans="1:6" x14ac:dyDescent="0.25">
      <c r="A14" t="s">
        <v>50</v>
      </c>
      <c r="B14" s="21">
        <f>1/(1+Assumptions!$B$26)^(1-0.5*Assumptions!$B$32)</f>
        <v>0.9756778152774163</v>
      </c>
      <c r="C14" s="21">
        <f>1/(1+Assumptions!$B$26)^(2-0.5*Assumptions!$B$32)</f>
        <v>0.9287937635988271</v>
      </c>
      <c r="D14" s="21">
        <f>1/(1+Assumptions!$B$26)^(3-0.5*Assumptions!$B$32)</f>
        <v>0.8841626219150972</v>
      </c>
      <c r="E14" s="21">
        <f>1/(1+Assumptions!$B$26)^(4-0.5*Assumptions!$B$32)</f>
        <v>0.841676131591078</v>
      </c>
      <c r="F14" s="21">
        <f>1/(1+Assumptions!$B$26)^(5-0.5*Assumptions!$B$32)</f>
        <v>0.8012312361222486</v>
      </c>
    </row>
    <row r="15" spans="1:6" x14ac:dyDescent="0.25">
      <c r="A15" s="19" t="s">
        <v>51</v>
      </c>
      <c r="B15" s="20">
        <f>B13*B14</f>
        <v>8015759846.412541</v>
      </c>
      <c r="C15" s="20">
        <f>C13*C14</f>
        <v>8102096706.905631</v>
      </c>
      <c r="D15" s="20">
        <f>D13*D14</f>
        <v>8189363492.149805</v>
      </c>
      <c r="E15" s="20">
        <f>E13*E14</f>
        <v>8277570218.261417</v>
      </c>
      <c r="F15" s="20">
        <f>F13*F14</f>
        <v>8366727009.239339</v>
      </c>
    </row>
    <row r="17" spans="1:2" x14ac:dyDescent="0.25">
      <c r="A17" s="22" t="s">
        <v>52</v>
      </c>
      <c r="B17" s="23">
        <f>SUM(B15:F15)</f>
        <v>40951517272.968735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10442337532.585634</v>
      </c>
    </row>
    <row r="5" spans="1:2" x14ac:dyDescent="0.25">
      <c r="A5" t="s">
        <v>56</v>
      </c>
      <c r="B5" s="18">
        <f>IF(Assumptions!$B$33=0,B4,B4-Forecast!F11-Forecast!F10-Forecast!F12)</f>
        <v>15846302814.847536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0.49526103778643127</v>
      </c>
    </row>
    <row r="7" spans="1:2" x14ac:dyDescent="0.25">
      <c r="A7" t="s">
        <v>58</v>
      </c>
      <c r="B7" s="18">
        <f>-MAX(Forecast!F9,0)*B6</f>
        <v>-7848056377.159438</v>
      </c>
    </row>
    <row r="8" spans="1:2" x14ac:dyDescent="0.25">
      <c r="A8" t="s">
        <v>59</v>
      </c>
      <c r="B8" s="18">
        <f>IF(OR(Assumptions!$B$33=0,Assumptions!B12&lt;=0),B5,MAX(B5+B7,0))</f>
        <v>7998246437.688098</v>
      </c>
    </row>
    <row r="9" spans="1:2" x14ac:dyDescent="0.25">
      <c r="A9" t="s">
        <v>60</v>
      </c>
      <c r="B9" s="18">
        <f>B8*(1+Assumptions!B12)/(Assumptions!B26-Assumptions!B12)</f>
        <v>321770311463.5369</v>
      </c>
    </row>
    <row r="10" spans="1:2" x14ac:dyDescent="0.25">
      <c r="A10" t="s">
        <v>61</v>
      </c>
      <c r="B10" s="18">
        <f>B9/(1+Assumptions!B26)^(5-0.5*Assumptions!B32)</f>
        <v>257812424401.3706</v>
      </c>
    </row>
    <row r="11" spans="1:2" x14ac:dyDescent="0.25">
      <c r="A11" t="s">
        <v>62</v>
      </c>
      <c r="B11" s="18">
        <f>Forecast!B17+B10</f>
        <v>298763941674.33936</v>
      </c>
    </row>
    <row r="12" spans="1:2" x14ac:dyDescent="0.25">
      <c r="A12" t="s">
        <v>63</v>
      </c>
      <c r="B12" s="18">
        <f>-Assumptions!B30</f>
        <v>-71529000000</v>
      </c>
    </row>
    <row r="13" spans="1:2" x14ac:dyDescent="0.25">
      <c r="A13" t="s">
        <v>64</v>
      </c>
      <c r="B13" s="18">
        <f>B11+B12</f>
        <v>227234941674.33936</v>
      </c>
    </row>
    <row r="14" spans="1:2" x14ac:dyDescent="0.25">
      <c r="A14" s="19" t="s">
        <v>65</v>
      </c>
      <c r="B14" s="24">
        <f>B13/Assumptions!B31</f>
        <v>191.2676932746222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31674801044.41542</v>
      </c>
    </row>
    <row r="18" spans="1:2" x14ac:dyDescent="0.25">
      <c r="A18" t="s">
        <v>60</v>
      </c>
      <c r="B18" s="18">
        <f>B17*Assumptions!B13</f>
        <v>229415387279.82635</v>
      </c>
    </row>
    <row r="19" spans="1:2" x14ac:dyDescent="0.25">
      <c r="A19" t="s">
        <v>61</v>
      </c>
      <c r="B19" s="18">
        <f>B18/(1+Assumptions!B26)^(5-0.5*Assumptions!B32)</f>
        <v>183814774335.67966</v>
      </c>
    </row>
    <row r="20" spans="1:2" x14ac:dyDescent="0.25">
      <c r="A20" t="s">
        <v>62</v>
      </c>
      <c r="B20" s="18">
        <f>Forecast!B17+B19</f>
        <v>224766291608.64838</v>
      </c>
    </row>
    <row r="21" spans="1:2" x14ac:dyDescent="0.25">
      <c r="A21" t="s">
        <v>63</v>
      </c>
      <c r="B21" s="18">
        <f>-Assumptions!B30</f>
        <v>-71529000000</v>
      </c>
    </row>
    <row r="22" spans="1:2" x14ac:dyDescent="0.25">
      <c r="A22" t="s">
        <v>64</v>
      </c>
      <c r="B22" s="18">
        <f>B20+B21</f>
        <v>153237291608.64838</v>
      </c>
    </row>
    <row r="23" spans="1:2" x14ac:dyDescent="0.25">
      <c r="A23" s="19" t="s">
        <v>65</v>
      </c>
      <c r="B23" s="25">
        <f>B22/Assumptions!B31</f>
        <v>128.98255467964665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100.74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191.2676932746222</v>
      </c>
    </row>
    <row r="29" spans="1:2" x14ac:dyDescent="0.25">
      <c r="A29" s="19" t="s">
        <v>73</v>
      </c>
      <c r="B29" s="12">
        <f>B28/B26-1</f>
        <v>0.8986270922634723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0.030478</v>
      </c>
      <c r="B5" s="31">
        <v>364.04842307069674</v>
      </c>
      <c r="C5" s="31">
        <v>365.96005263299946</v>
      </c>
      <c r="D5" s="31">
        <v>367.8716821953019</v>
      </c>
      <c r="E5" s="31">
        <v>2486.8882568126583</v>
      </c>
      <c r="F5" s="31" t="s">
        <v>76</v>
      </c>
    </row>
    <row r="6" spans="1:6" x14ac:dyDescent="0.25">
      <c r="A6" s="30">
        <v>0.040478</v>
      </c>
      <c r="B6" s="31">
        <v>254.8720961517844</v>
      </c>
      <c r="C6" s="31">
        <v>256.25024890719106</v>
      </c>
      <c r="D6" s="31">
        <v>257.62840166259764</v>
      </c>
      <c r="E6" s="31">
        <v>259.0065544180044</v>
      </c>
      <c r="F6" s="31">
        <v>260.384707173411</v>
      </c>
    </row>
    <row r="7" spans="1:6" x14ac:dyDescent="0.25">
      <c r="A7" s="30">
        <v>0.050478</v>
      </c>
      <c r="B7" s="31">
        <v>189.15283425434515</v>
      </c>
      <c r="C7" s="31">
        <v>190.2114077018744</v>
      </c>
      <c r="D7" s="32">
        <v>191.2699811494037</v>
      </c>
      <c r="E7" s="31">
        <v>192.328554596933</v>
      </c>
      <c r="F7" s="31">
        <v>193.3871280444622</v>
      </c>
    </row>
    <row r="8" spans="1:6" x14ac:dyDescent="0.25">
      <c r="A8" s="30">
        <v>0.060478</v>
      </c>
      <c r="B8" s="31">
        <v>145.32393670139388</v>
      </c>
      <c r="C8" s="31">
        <v>146.17059770387021</v>
      </c>
      <c r="D8" s="31">
        <v>147.01725870634652</v>
      </c>
      <c r="E8" s="31">
        <v>147.8639197088229</v>
      </c>
      <c r="F8" s="31">
        <v>148.71058071129917</v>
      </c>
    </row>
    <row r="9" spans="1:6" x14ac:dyDescent="0.25">
      <c r="A9" s="30">
        <v>0.070478</v>
      </c>
      <c r="B9" s="31">
        <v>114.05952542176387</v>
      </c>
      <c r="C9" s="31">
        <v>114.75600924302356</v>
      </c>
      <c r="D9" s="31">
        <v>115.4524930642832</v>
      </c>
      <c r="E9" s="31">
        <v>116.14897688554284</v>
      </c>
      <c r="F9" s="31">
        <v>116.8454607068025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68804000000</v>
      </c>
      <c r="C5" s="18">
        <v>65870000000</v>
      </c>
      <c r="D5" s="18">
        <v>59735000000</v>
      </c>
      <c r="E5" s="18">
        <v>57477000000</v>
      </c>
      <c r="F5" s="8" t="s">
        <v>85</v>
      </c>
    </row>
    <row r="6" spans="1:6" x14ac:dyDescent="0.25">
      <c r="A6" t="s">
        <v>44</v>
      </c>
      <c r="B6" s="18">
        <v>17065000000</v>
      </c>
      <c r="C6" s="18">
        <v>16188000000</v>
      </c>
      <c r="D6" s="18">
        <v>11725000000</v>
      </c>
      <c r="E6" s="18">
        <v>13214000000</v>
      </c>
      <c r="F6" s="8" t="s">
        <v>86</v>
      </c>
    </row>
    <row r="7" spans="1:6" x14ac:dyDescent="0.25">
      <c r="A7" t="s">
        <v>87</v>
      </c>
      <c r="B7" s="18">
        <v>8055000000</v>
      </c>
      <c r="C7" s="18">
        <v>7272000000</v>
      </c>
      <c r="D7" s="18">
        <v>6245000000</v>
      </c>
      <c r="E7" s="18">
        <v>6465000000</v>
      </c>
      <c r="F7" s="8" t="s">
        <v>88</v>
      </c>
    </row>
    <row r="8" spans="1:6" x14ac:dyDescent="0.25">
      <c r="A8" t="s">
        <v>89</v>
      </c>
      <c r="B8" s="18">
        <v>2875000000</v>
      </c>
      <c r="C8" s="18">
        <v>2136000000</v>
      </c>
      <c r="D8" s="18">
        <v>2216000000</v>
      </c>
      <c r="E8" s="18">
        <v>2529000000</v>
      </c>
      <c r="F8" s="8" t="s">
        <v>90</v>
      </c>
    </row>
    <row r="9" spans="1:6" x14ac:dyDescent="0.25">
      <c r="A9" t="s">
        <v>91</v>
      </c>
      <c r="B9" s="18">
        <v>-22179000000</v>
      </c>
      <c r="C9" s="18">
        <v>121525000000</v>
      </c>
      <c r="D9" s="18">
        <v>54760000000</v>
      </c>
      <c r="E9" s="18">
        <v>86713000000</v>
      </c>
      <c r="F9" s="8" t="s">
        <v>92</v>
      </c>
    </row>
    <row r="10" spans="1:6" x14ac:dyDescent="0.25">
      <c r="A10" t="s">
        <v>93</v>
      </c>
      <c r="B10" s="18">
        <v>398488000000</v>
      </c>
      <c r="C10" s="18">
        <v>379895000000</v>
      </c>
      <c r="D10" s="18">
        <v>346845000000</v>
      </c>
      <c r="E10" s="18">
        <v>293984000000</v>
      </c>
      <c r="F10" s="8" t="s">
        <v>94</v>
      </c>
    </row>
    <row r="11" spans="1:6" x14ac:dyDescent="0.25">
      <c r="A11" t="s">
        <v>95</v>
      </c>
      <c r="B11" s="18">
        <v>326959000000</v>
      </c>
      <c r="C11" s="18">
        <v>308046000000</v>
      </c>
      <c r="D11" s="18">
        <v>408219000000</v>
      </c>
      <c r="E11" s="18">
        <v>474919000000</v>
      </c>
      <c r="F11" s="8" t="s">
        <v>96</v>
      </c>
    </row>
    <row r="12" spans="1:6" x14ac:dyDescent="0.25">
      <c r="A12" t="s">
        <v>32</v>
      </c>
      <c r="B12" s="34">
        <v>1188046647</v>
      </c>
      <c r="C12" s="34">
        <v>1133302357</v>
      </c>
      <c r="D12" s="34">
        <v>1200367337</v>
      </c>
      <c r="E12" s="34">
        <v>1232991607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2026-09-19T00:07:50Z</dcterms:modified>
</cp:coreProperties>
</file>