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<sst xmlns="http://schemas.openxmlformats.org/spreadsheetml/2006/main" count="112" uniqueCount="100">
  <si>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Brenntag SE (BNR.DE)</t>
  </si>
  <si>
    <t>DCF Studio - Base case</t>
  </si>
  <si>
    <t>Blue figures on a cream fill are inputs. Every other figure is a formula - change an input and the model reprices. Currency figures are EUR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</si>
  <si>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</si>
  <si>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</si>
  <si>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</si>
  <si>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</si>
  <si>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</si>
  <si>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</si>
  <si>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</si>
  <si>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</si>
  <si>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</si>
  <si>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</si>
  <si>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</si>
  <si>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</si>
  <si>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</si>
  <si>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EUR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</si>
  <si>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</si>
  <si>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</si>
  <si>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</si>
  <si>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</si>
  <si>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</si>
  <si>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</si>
  <si>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(EUR m)</t>
  </si>
  <si>
    <t>Total debt (EUR m)</t>
  </si>
  <si>
    <t>Equity weight</t>
  </si>
  <si>
    <t>Debt weight</t>
  </si>
  <si>
    <t>WACC</t>
  </si>
  <si>
    <t>Base year</t>
  </si>
  <si>
    <t>Revenue, last reported year (EUR m)</t>
  </si>
  <si>
    <t>Fiscal year ended 2025-12-31</t>
  </si>
  <si>
    <t>Net debt (EUR m)</t>
  </si>
  <si>
    <t>Diluted shares</t>
  </si>
  <si>
    <t>Mid-year discounting (1 = yes, 0 = no)</t>
  </si>
  <si>
    <t>Terminal year on a steady-state footing (1 = yes, 0 = no)</t>
  </si>
  <si>
    <t>Forecast cashflows (EUR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</si>
  <si>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</si>
  <si>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</si>
  <si>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</si>
  <si>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</si>
  <si>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</si>
  <si>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</si>
  <si>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</si>
  <si>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</si>
  <si>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</si>
  <si>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</si>
  <si>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</si>
  <si>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</si>
  <si>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</si>
  <si>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</si>
  <si>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</si>
  <si>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</si>
  <si>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</si>
  <si>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(EUR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</si>
  <si>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</si>
  <si>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</si>
  <si>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</si>
  <si>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</si>
  <si>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</si>
  <si>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</si>
  <si>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</si>
  <si>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</si>
  <si>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</si>
  <si>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</si>
  <si>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</si>
  <si>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</si>
  <si>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</si>
  <si>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</si>
  <si>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</si>
  <si>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(EUR)</t>
  </si>
  <si>
    <t>Conversion, EUR to EUR</t>
  </si>
  <si>
    <t>Same currency, no conversion</t>
  </si>
  <si>
    <t>Value per share (EUR)</t>
  </si>
  <si>
    <t>Implied upside</t>
  </si>
  <si>
    <t>Value per share (EUR)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</si>
  <si>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</si>
  <si>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(EUR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</si>
  <si>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</si>
  <si>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</si>
  <si>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</si>
  <si>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</si>
  <si>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</si>
  <si>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</si>
  <si>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</si>
  <si>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</si>
  <si>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</si>
  <si>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</si>
  <si>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</si>
  <si>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</si>
  <si>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</si>
  <si>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</si>
  <si>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</si>
  <si>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</si>
  <si>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</si>
  <si>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</si>
  <si>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</si>
  <si>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</si>
  <si>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</si>
  <si>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Note: Risk-free rate is an assumption: EUR assumption - no free live source available for this market.</t>
  </si>
  <si>
    <t>Data: Yahoo Finance. Risk-free rate: EUR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</si>
</sst>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-0.07914668518471824</v>
      </c>
    </row>
    <row r="7" spans="1:2" x14ac:dyDescent="0.25">
      <c r="A7" t="s">
        <v>5</v>
      </c>
      <c r="B7" s="6">
        <v>0.05799803715647845</v>
      </c>
    </row>
    <row r="8" spans="1:2" x14ac:dyDescent="0.25">
      <c r="A8" t="s">
        <v>6</v>
      </c>
      <c r="B8" s="6">
        <v>0.27504251760145687</v>
      </c>
    </row>
    <row r="9" spans="1:2" x14ac:dyDescent="0.25">
      <c r="A9" t="s">
        <v>7</v>
      </c>
      <c r="B9" s="6">
        <v>0.027546091431313938</v>
      </c>
    </row>
    <row r="10" spans="1:2" x14ac:dyDescent="0.25">
      <c r="A10" t="s">
        <v>8</v>
      </c>
      <c r="B10" s="6">
        <v>0.018308921621689175</v>
      </c>
    </row>
    <row r="11" spans="1:2" x14ac:dyDescent="0.25">
      <c r="A11" t="s">
        <v>9</v>
      </c>
      <c r="B11" s="6">
        <v>0.03658879819870532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9.233022325581395</v>
      </c>
    </row>
    <row r="14" spans="1:3" x14ac:dyDescent="0.25">
      <c r="A14" t="s">
        <v>12</v>
      </c>
      <c r="B14" s="6">
        <v>0.10680152773001605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0.026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0.68577</v>
      </c>
      <c r="C19" s="8" t="s">
        <v>19</v>
      </c>
    </row>
    <row r="20" spans="1:2" x14ac:dyDescent="0.25">
      <c r="A20" t="s">
        <v>20</v>
      </c>
      <c r="B20" s="10">
        <f>B17+B19*B18</f>
        <v>0.0671462</v>
      </c>
    </row>
    <row r="21" spans="1:3" x14ac:dyDescent="0.25">
      <c r="A21" t="s">
        <v>21</v>
      </c>
      <c r="B21" s="6">
        <v>0.044063352371193056</v>
      </c>
      <c r="C21" s="8" t="s">
        <v>22</v>
      </c>
    </row>
    <row r="22" spans="1:2" x14ac:dyDescent="0.25">
      <c r="A22" t="s">
        <v>23</v>
      </c>
      <c r="B22" s="11">
        <v>8654458880</v>
      </c>
    </row>
    <row r="23" spans="1:2" x14ac:dyDescent="0.25">
      <c r="A23" t="s">
        <v>24</v>
      </c>
      <c r="B23" s="11">
        <v>3260000000</v>
      </c>
    </row>
    <row r="24" spans="1:2" x14ac:dyDescent="0.25">
      <c r="A24" t="s">
        <v>25</v>
      </c>
      <c r="B24" s="10">
        <f>B22/(B22+B23)</f>
        <v>0.7263828737138585</v>
      </c>
    </row>
    <row r="25" spans="1:2" x14ac:dyDescent="0.25">
      <c r="A25" t="s">
        <v>26</v>
      </c>
      <c r="B25" s="10">
        <f>1-B24</f>
        <v>0.27361712628614154</v>
      </c>
    </row>
    <row r="26" spans="1:2" x14ac:dyDescent="0.25">
      <c r="A26" t="s">
        <v>27</v>
      </c>
      <c r="B26" s="12">
        <f>B24*B20+B25*B21*(1-B8)</f>
        <v>0.05751429079351622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15171500000</v>
      </c>
      <c r="C29" s="8" t="s">
        <v>30</v>
      </c>
    </row>
    <row r="30" spans="1:2" x14ac:dyDescent="0.25">
      <c r="A30" t="s">
        <v>31</v>
      </c>
      <c r="B30" s="11">
        <v>2462100000</v>
      </c>
    </row>
    <row r="31" spans="1:2" x14ac:dyDescent="0.25">
      <c r="A31" t="s">
        <v>32</v>
      </c>
      <c r="B31" s="13">
        <v>144400000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-0.07914668518471824</v>
      </c>
      <c r="C5" s="10">
        <f>Assumptions!B6</f>
        <v>-0.07914668518471824</v>
      </c>
      <c r="D5" s="10">
        <f>Assumptions!B6</f>
        <v>-0.07914668518471824</v>
      </c>
      <c r="E5" s="10">
        <f>Assumptions!B6</f>
        <v>-0.07914668518471824</v>
      </c>
      <c r="F5" s="10">
        <f>Assumptions!B6</f>
        <v>-0.07914668518471824</v>
      </c>
    </row>
    <row r="6" spans="1:6" x14ac:dyDescent="0.25">
      <c r="A6" t="s">
        <v>43</v>
      </c>
      <c r="B6" s="18">
        <f>Assumptions!B29*(1+B5)</f>
        <v>13970726065.720047</v>
      </c>
      <c r="C6" s="18">
        <f>B6*(1+C5)</f>
        <v>12864989407.994566</v>
      </c>
      <c r="D6" s="18">
        <f>C6*(1+D5)</f>
        <v>11846768141.415285</v>
      </c>
      <c r="E6" s="18">
        <f>D6*(1+E5)</f>
        <v>10909135712.87034</v>
      </c>
      <c r="F6" s="18">
        <f>E6*(1+F5)</f>
        <v>10045713782.966425</v>
      </c>
    </row>
    <row r="7" spans="1:6" x14ac:dyDescent="0.25">
      <c r="A7" t="s">
        <v>5</v>
      </c>
      <c r="B7" s="10">
        <f>Assumptions!B7</f>
        <v>0.05799803715647845</v>
      </c>
      <c r="C7" s="10">
        <f>Assumptions!B7</f>
        <v>0.05799803715647845</v>
      </c>
      <c r="D7" s="10">
        <f>Assumptions!B7</f>
        <v>0.05799803715647845</v>
      </c>
      <c r="E7" s="10">
        <f>Assumptions!B7</f>
        <v>0.05799803715647845</v>
      </c>
      <c r="F7" s="10">
        <f>Assumptions!B7</f>
        <v>0.05799803715647845</v>
      </c>
    </row>
    <row r="8" spans="1:6" x14ac:dyDescent="0.25">
      <c r="A8" t="s">
        <v>44</v>
      </c>
      <c r="B8" s="18">
        <f>B6*B7</f>
        <v>810274689.4626133</v>
      </c>
      <c r="C8" s="18">
        <f>C6*C7</f>
        <v>746144133.7025706</v>
      </c>
      <c r="D8" s="18">
        <f>D6*D7</f>
        <v>687089298.8499888</v>
      </c>
      <c r="E8" s="18">
        <f>E6*E7</f>
        <v>632708458.42012</v>
      </c>
      <c r="F8" s="18">
        <f>F6*F7</f>
        <v>582631681.2478344</v>
      </c>
    </row>
    <row r="9" spans="1:6" x14ac:dyDescent="0.25">
      <c r="A9" t="s">
        <v>45</v>
      </c>
      <c r="B9" s="18">
        <f>B8*(1-Assumptions!B8)</f>
        <v>587414698.9240775</v>
      </c>
      <c r="C9" s="18">
        <f>C8*(1-Assumptions!B8)</f>
        <v>540922772.6754576</v>
      </c>
      <c r="D9" s="18">
        <f>D8*(1-Assumptions!B8)</f>
        <v>498110528.2772682</v>
      </c>
      <c r="E9" s="18">
        <f>E8*(1-Assumptions!B8)</f>
        <v>458686731.10851353</v>
      </c>
      <c r="F9" s="18">
        <f>F8*(1-Assumptions!B8)</f>
        <v>422383196.8030606</v>
      </c>
    </row>
    <row r="10" spans="1:6" x14ac:dyDescent="0.25">
      <c r="A10" t="s">
        <v>46</v>
      </c>
      <c r="B10" s="18">
        <f>B6*Assumptions!B9</f>
        <v>384838897.56816524</v>
      </c>
      <c r="C10" s="18">
        <f>C6*Assumptions!B9</f>
        <v>354380174.49550366</v>
      </c>
      <c r="D10" s="18">
        <f>D6*Assumptions!B9</f>
        <v>326332158.3890025</v>
      </c>
      <c r="E10" s="18">
        <f>E6*Assumptions!B9</f>
        <v>300504049.78333855</v>
      </c>
      <c r="F10" s="18">
        <f>F6*Assumptions!B9</f>
        <v>276720150.35840374</v>
      </c>
    </row>
    <row r="11" spans="1:6" x14ac:dyDescent="0.25">
      <c r="A11" t="s">
        <v>47</v>
      </c>
      <c r="B11" s="18">
        <f>-B6*Assumptions!B10</f>
        <v>-255788928.5353583</v>
      </c>
      <c r="C11" s="18">
        <f>-C6*Assumptions!B10</f>
        <v>-235544082.73483393</v>
      </c>
      <c r="D11" s="18">
        <f>-D6*Assumptions!B10</f>
        <v>-216901549.3714968</v>
      </c>
      <c r="E11" s="18">
        <f>-E6*Assumptions!B10</f>
        <v>-199734510.7273133</v>
      </c>
      <c r="F11" s="18">
        <f>-F6*Assumptions!B10</f>
        <v>-183926186.28625494</v>
      </c>
    </row>
    <row r="12" spans="1:6" x14ac:dyDescent="0.25">
      <c r="A12" t="s">
        <v>48</v>
      </c>
      <c r="B12" s="18">
        <f>-(B6-Assumptions!B29)*Assumptions!B11</f>
        <v>43934875.16363465</v>
      </c>
      <c r="C12" s="18">
        <f>-(C6-B6)*Assumptions!B11</f>
        <v>40457575.43042852</v>
      </c>
      <c r="D12" s="18">
        <f>-(D6-C6)*Assumptions!B11</f>
        <v>37255492.44449944</v>
      </c>
      <c r="E12" s="18">
        <f>-(E6-D6)*Assumptions!B11</f>
        <v>34306843.712592974</v>
      </c>
      <c r="F12" s="18">
        <f>-(F6-E6)*Assumptions!B11</f>
        <v>31591570.753591053</v>
      </c>
    </row>
    <row r="13" spans="1:6" x14ac:dyDescent="0.25">
      <c r="A13" s="19" t="s">
        <v>49</v>
      </c>
      <c r="B13" s="20">
        <f>B9+B10+B11+B12</f>
        <v>760399543.1205192</v>
      </c>
      <c r="C13" s="20">
        <f>C9+C10+C11+C12</f>
        <v>700216439.8665558</v>
      </c>
      <c r="D13" s="20">
        <f>D9+D10+D11+D12</f>
        <v>644796629.7392734</v>
      </c>
      <c r="E13" s="20">
        <f>E9+E10+E11+E12</f>
        <v>593763113.8771318</v>
      </c>
      <c r="F13" s="20">
        <f>F9+F10+F11+F12</f>
        <v>546768731.6288004</v>
      </c>
    </row>
    <row r="14" spans="1:6" x14ac:dyDescent="0.25">
      <c r="A14" t="s">
        <v>50</v>
      </c>
      <c r="B14" s="21">
        <f>1/(1+Assumptions!$B$26)^(1-0.5*Assumptions!$B$32)</f>
        <v>0.9724267061077992</v>
      </c>
      <c r="C14" s="21">
        <f>1/(1+Assumptions!$B$26)^(2-0.5*Assumptions!$B$32)</f>
        <v>0.9195400143274938</v>
      </c>
      <c r="D14" s="21">
        <f>1/(1+Assumptions!$B$26)^(3-0.5*Assumptions!$B$32)</f>
        <v>0.8695296340983798</v>
      </c>
      <c r="E14" s="21">
        <f>1/(1+Assumptions!$B$26)^(4-0.5*Assumptions!$B$32)</f>
        <v>0.8222391334739502</v>
      </c>
      <c r="F14" s="21">
        <f>1/(1+Assumptions!$B$26)^(5-0.5*Assumptions!$B$32)</f>
        <v>0.7775205882626656</v>
      </c>
    </row>
    <row r="15" spans="1:6" x14ac:dyDescent="0.25">
      <c r="A15" s="19" t="s">
        <v>51</v>
      </c>
      <c r="B15" s="20">
        <f>B13*B14</f>
        <v>739432823.0425619</v>
      </c>
      <c r="C15" s="20">
        <f>C13*C14</f>
        <v>643877035.1472394</v>
      </c>
      <c r="D15" s="20">
        <f>D13*D14</f>
        <v>560669777.5250589</v>
      </c>
      <c r="E15" s="20">
        <f>E13*E14</f>
        <v>488215268.2431273</v>
      </c>
      <c r="F15" s="20">
        <f>F13*F14</f>
        <v>425123945.8596564</v>
      </c>
    </row>
    <row r="17" spans="1:2" x14ac:dyDescent="0.25">
      <c r="A17" s="22" t="s">
        <v>52</v>
      </c>
      <c r="B17" s="23">
        <f>SUM(B15:F15)</f>
        <v>2857318849.8176436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546768731.6288004</v>
      </c>
    </row>
    <row r="5" spans="1:2" x14ac:dyDescent="0.25">
      <c r="A5" t="s">
        <v>56</v>
      </c>
      <c r="B5" s="18">
        <f>IF(Assumptions!$B$33=0,B4,B4-Forecast!F11-Forecast!F10-Forecast!F12)</f>
        <v>422383196.8030606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0.234079048599357</v>
      </c>
    </row>
    <row r="7" spans="1:2" x14ac:dyDescent="0.25">
      <c r="A7" t="s">
        <v>58</v>
      </c>
      <c r="B7" s="18">
        <f>-MAX(Forecast!F9,0)*B6</f>
        <v>-98871056.85201539</v>
      </c>
    </row>
    <row r="8" spans="1:2" x14ac:dyDescent="0.25">
      <c r="A8" t="s">
        <v>59</v>
      </c>
      <c r="B8" s="18">
        <f>IF(OR(Assumptions!$B$33=0,Assumptions!B12&lt;=0),B5,MAX(B5+B7,0))</f>
        <v>323512139.9510452</v>
      </c>
    </row>
    <row r="9" spans="1:2" x14ac:dyDescent="0.25">
      <c r="A9" t="s">
        <v>60</v>
      </c>
      <c r="B9" s="18">
        <f>B8*(1+Assumptions!B12)/(Assumptions!B26-Assumptions!B12)</f>
        <v>10198590692.187164</v>
      </c>
    </row>
    <row r="10" spans="1:2" x14ac:dyDescent="0.25">
      <c r="A10" t="s">
        <v>61</v>
      </c>
      <c r="B10" s="18">
        <f>B9/(1+Assumptions!B26)^(5-0.5*Assumptions!B32)</f>
        <v>7929614234.439509</v>
      </c>
    </row>
    <row r="11" spans="1:2" x14ac:dyDescent="0.25">
      <c r="A11" t="s">
        <v>62</v>
      </c>
      <c r="B11" s="18">
        <f>Forecast!B17+B10</f>
        <v>10786933084.257153</v>
      </c>
    </row>
    <row r="12" spans="1:2" x14ac:dyDescent="0.25">
      <c r="A12" t="s">
        <v>63</v>
      </c>
      <c r="B12" s="18">
        <f>-Assumptions!B30</f>
        <v>-2462100000</v>
      </c>
    </row>
    <row r="13" spans="1:2" x14ac:dyDescent="0.25">
      <c r="A13" t="s">
        <v>64</v>
      </c>
      <c r="B13" s="18">
        <f>B11+B12</f>
        <v>8324833084.257153</v>
      </c>
    </row>
    <row r="14" spans="1:2" x14ac:dyDescent="0.25">
      <c r="A14" s="19" t="s">
        <v>65</v>
      </c>
      <c r="B14" s="24">
        <f>B13/Assumptions!B31</f>
        <v>57.651198644440115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859351831.6062381</v>
      </c>
    </row>
    <row r="18" spans="1:2" x14ac:dyDescent="0.25">
      <c r="A18" t="s">
        <v>60</v>
      </c>
      <c r="B18" s="18">
        <f>B17*Assumptions!B13</f>
        <v>7934414646.74966</v>
      </c>
    </row>
    <row r="19" spans="1:2" x14ac:dyDescent="0.25">
      <c r="A19" t="s">
        <v>61</v>
      </c>
      <c r="B19" s="18">
        <f>B18/(1+Assumptions!B26)^(5-0.5*Assumptions!B32)</f>
        <v>6169170743.660706</v>
      </c>
    </row>
    <row r="20" spans="1:2" x14ac:dyDescent="0.25">
      <c r="A20" t="s">
        <v>62</v>
      </c>
      <c r="B20" s="18">
        <f>Forecast!B17+B19</f>
        <v>9026489593.47835</v>
      </c>
    </row>
    <row r="21" spans="1:2" x14ac:dyDescent="0.25">
      <c r="A21" t="s">
        <v>63</v>
      </c>
      <c r="B21" s="18">
        <f>-Assumptions!B30</f>
        <v>-2462100000</v>
      </c>
    </row>
    <row r="22" spans="1:2" x14ac:dyDescent="0.25">
      <c r="A22" t="s">
        <v>64</v>
      </c>
      <c r="B22" s="18">
        <f>B20+B21</f>
        <v>6564389593.47835</v>
      </c>
    </row>
    <row r="23" spans="1:2" x14ac:dyDescent="0.25">
      <c r="A23" s="19" t="s">
        <v>65</v>
      </c>
      <c r="B23" s="25">
        <f>B22/Assumptions!B31</f>
        <v>45.459761727689404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59.94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57.651198644440115</v>
      </c>
    </row>
    <row r="29" spans="1:2" x14ac:dyDescent="0.25">
      <c r="A29" s="19" t="s">
        <v>73</v>
      </c>
      <c r="B29" s="12">
        <f>B28/B26-1</f>
        <v>-0.03818487413346483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0.037514</v>
      </c>
      <c r="B5" s="31">
        <v>99.64335116930951</v>
      </c>
      <c r="C5" s="31">
        <v>120.91228992197978</v>
      </c>
      <c r="D5" s="31">
        <v>159.08462625654337</v>
      </c>
      <c r="E5" s="31">
        <v>247.90416689756785</v>
      </c>
      <c r="F5" s="31">
        <v>689.561868327518</v>
      </c>
    </row>
    <row r="6" spans="1:6" x14ac:dyDescent="0.25">
      <c r="A6" s="30">
        <v>0.047514</v>
      </c>
      <c r="B6" s="31">
        <v>66.85412330892024</v>
      </c>
      <c r="C6" s="31">
        <v>74.67981917553227</v>
      </c>
      <c r="D6" s="31">
        <v>85.9320810123691</v>
      </c>
      <c r="E6" s="31">
        <v>103.5456175983147</v>
      </c>
      <c r="F6" s="31">
        <v>135.14541864382383</v>
      </c>
    </row>
    <row r="7" spans="1:6" x14ac:dyDescent="0.25">
      <c r="A7" s="30">
        <v>0.057514</v>
      </c>
      <c r="B7" s="31">
        <v>49.40919759537673</v>
      </c>
      <c r="C7" s="31">
        <v>52.99537523550874</v>
      </c>
      <c r="D7" s="32">
        <v>57.65176983854673</v>
      </c>
      <c r="E7" s="31">
        <v>63.961839078532705</v>
      </c>
      <c r="F7" s="31">
        <v>73.02734717125324</v>
      </c>
    </row>
    <row r="8" spans="1:6" x14ac:dyDescent="0.25">
      <c r="A8" s="30">
        <v>0.067514</v>
      </c>
      <c r="B8" s="31">
        <v>38.546270337324685</v>
      </c>
      <c r="C8" s="31">
        <v>40.363796592369425</v>
      </c>
      <c r="D8" s="31">
        <v>42.584829305919186</v>
      </c>
      <c r="E8" s="31">
        <v>45.370710826899085</v>
      </c>
      <c r="F8" s="31">
        <v>48.982028351946</v>
      </c>
    </row>
    <row r="9" spans="1:6" x14ac:dyDescent="0.25">
      <c r="A9" s="30">
        <v>0.077514</v>
      </c>
      <c r="B9" s="31">
        <v>31.109463889870288</v>
      </c>
      <c r="C9" s="31">
        <v>32.06631030513605</v>
      </c>
      <c r="D9" s="31">
        <v>33.186728547485885</v>
      </c>
      <c r="E9" s="31">
        <v>34.522357658176325</v>
      </c>
      <c r="F9" s="31">
        <v>36.149129401452285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15171500000</v>
      </c>
      <c r="C5" s="18">
        <v>16237400000</v>
      </c>
      <c r="D5" s="18">
        <v>16815100000</v>
      </c>
      <c r="E5" s="18">
        <v>19429300000</v>
      </c>
      <c r="F5" s="8" t="s">
        <v>84</v>
      </c>
    </row>
    <row r="6" spans="1:6" x14ac:dyDescent="0.25">
      <c r="A6" t="s">
        <v>44</v>
      </c>
      <c r="B6" s="18">
        <v>614700000</v>
      </c>
      <c r="C6" s="18">
        <v>890500000</v>
      </c>
      <c r="D6" s="18">
        <v>1098500000</v>
      </c>
      <c r="E6" s="18">
        <v>1385400000</v>
      </c>
      <c r="F6" s="8" t="s">
        <v>85</v>
      </c>
    </row>
    <row r="7" spans="1:6" x14ac:dyDescent="0.25">
      <c r="A7" t="s">
        <v>86</v>
      </c>
      <c r="B7" s="18">
        <v>589300000</v>
      </c>
      <c r="C7" s="18">
        <v>444100000</v>
      </c>
      <c r="D7" s="18">
        <v>388000000</v>
      </c>
      <c r="E7" s="18">
        <v>406400000</v>
      </c>
      <c r="F7" s="8" t="s">
        <v>87</v>
      </c>
    </row>
    <row r="8" spans="1:6" x14ac:dyDescent="0.25">
      <c r="A8" t="s">
        <v>88</v>
      </c>
      <c r="B8" s="18">
        <v>293000000</v>
      </c>
      <c r="C8" s="18">
        <v>342200000</v>
      </c>
      <c r="D8" s="18">
        <v>321100000</v>
      </c>
      <c r="E8" s="18">
        <v>267200000</v>
      </c>
      <c r="F8" s="8" t="s">
        <v>89</v>
      </c>
    </row>
    <row r="9" spans="1:6" x14ac:dyDescent="0.25">
      <c r="A9" t="s">
        <v>90</v>
      </c>
      <c r="B9" s="18">
        <v>-39000000</v>
      </c>
      <c r="C9" s="18">
        <v>108700000</v>
      </c>
      <c r="D9" s="18">
        <v>-543500000</v>
      </c>
      <c r="E9" s="18">
        <v>355600000</v>
      </c>
      <c r="F9" s="8" t="s">
        <v>91</v>
      </c>
    </row>
    <row r="10" spans="1:6" x14ac:dyDescent="0.25">
      <c r="A10" t="s">
        <v>92</v>
      </c>
      <c r="B10" s="18">
        <v>3260000000</v>
      </c>
      <c r="C10" s="18">
        <v>3375900000</v>
      </c>
      <c r="D10" s="18">
        <v>2398100000</v>
      </c>
      <c r="E10" s="18">
        <v>2927900000</v>
      </c>
      <c r="F10" s="8" t="s">
        <v>93</v>
      </c>
    </row>
    <row r="11" spans="1:6" x14ac:dyDescent="0.25">
      <c r="A11" t="s">
        <v>94</v>
      </c>
      <c r="B11" s="18">
        <v>797900000</v>
      </c>
      <c r="C11" s="18">
        <v>763300000</v>
      </c>
      <c r="D11" s="18">
        <v>576900000</v>
      </c>
      <c r="E11" s="18">
        <v>1046100000</v>
      </c>
      <c r="F11" s="8" t="s">
        <v>95</v>
      </c>
    </row>
    <row r="12" spans="1:6" x14ac:dyDescent="0.25">
      <c r="A12" t="s">
        <v>32</v>
      </c>
      <c r="B12" s="34">
        <v>144400000</v>
      </c>
      <c r="C12" s="34">
        <v>144700000</v>
      </c>
      <c r="D12" s="34">
        <v>151100000</v>
      </c>
      <c r="E12" s="34">
        <v>154500000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2026-09-19T00:08:39Z</dcterms:modified>
</cp:coreProperties>
</file>