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<sst xmlns="http://schemas.openxmlformats.org/spreadsheetml/2006/main" count="114" uniqueCount="102">
  <si>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The Bank of Nova Scotia (BNS.TO)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</si>
  <si>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</si>
  <si>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</si>
  <si>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</si>
  <si>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</si>
  <si>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</si>
  <si>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</si>
  <si>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</si>
  <si>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</si>
  <si>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</si>
  <si>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</si>
  <si>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</si>
  <si>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</si>
  <si>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</si>
  <si>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</si>
  <si>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</si>
  <si>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</si>
  <si>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</si>
  <si>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</si>
  <si>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</si>
  <si>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</si>
  <si>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</si>
  <si>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Implied cost of debt of 11.7% is not a credible funding cost, so risk-free + 2bp is assumed instead. Interest expense and reported debt are measuring different things - common for banks, whose interest expense includes deposits that total debt excludes.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</si>
  <si>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</si>
  <si>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</si>
  <si>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</si>
  <si>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</si>
  <si>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</si>
  <si>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</si>
  <si>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</si>
  <si>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2025-10-31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</si>
  <si>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</si>
  <si>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</si>
  <si>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</si>
  <si>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</si>
  <si>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</si>
  <si>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</si>
  <si>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</si>
  <si>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</si>
  <si>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</si>
  <si>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</si>
  <si>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</si>
  <si>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</si>
  <si>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</si>
  <si>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</si>
  <si>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</si>
  <si>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</si>
  <si>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</si>
  <si>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</si>
  <si>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</si>
  <si>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</si>
  <si>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</si>
  <si>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</si>
  <si>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</si>
  <si>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</si>
  <si>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</si>
  <si>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</si>
  <si>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</si>
  <si>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</si>
  <si>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</si>
  <si>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</si>
  <si>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</si>
  <si>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</si>
  <si>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</si>
  <si>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</si>
  <si>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</si>
  <si>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</si>
  <si>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</si>
  <si>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</si>
  <si>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</si>
  <si>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</si>
  <si>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</si>
  <si>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</si>
  <si>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</si>
  <si>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</si>
  <si>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</si>
  <si>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</si>
  <si>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</si>
  <si>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</si>
  <si>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</si>
  <si>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</si>
  <si>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</si>
  <si>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</si>
  <si>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</si>
  <si>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</si>
  <si>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</si>
  <si>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</si>
  <si>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</si>
  <si>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</si>
  <si>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</si>
  <si>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</si>
  <si>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</si>
  <si>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</si>
  <si>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</si>
  <si>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</si>
  <si>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</si>
  <si>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</si>
  <si>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</si>
  <si>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</si>
  <si>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CAD assumption - no free live source available for this market.</t>
  </si>
  <si>
    <t>Current EV/EBITDA of 33.8x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</si>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</sst>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0.05592901407051243</v>
      </c>
    </row>
    <row r="7" spans="1:2" x14ac:dyDescent="0.25">
      <c r="A7" t="s">
        <v>5</v>
      </c>
      <c r="B7" s="6">
        <v>0.3235171865886213</v>
      </c>
    </row>
    <row r="8" spans="1:2" x14ac:dyDescent="0.25">
      <c r="A8" t="s">
        <v>6</v>
      </c>
      <c r="B8" s="6">
        <v>0.2214625404064684</v>
      </c>
    </row>
    <row r="9" spans="1:2" x14ac:dyDescent="0.25">
      <c r="A9" t="s">
        <v>7</v>
      </c>
      <c r="B9" s="6">
        <v>0.05040224655542401</v>
      </c>
    </row>
    <row r="10" spans="1:2" x14ac:dyDescent="0.25">
      <c r="A10" t="s">
        <v>8</v>
      </c>
      <c r="B10" s="6">
        <v>0.013992149258171233</v>
      </c>
    </row>
    <row r="11" spans="1:2" x14ac:dyDescent="0.25">
      <c r="A11" t="s">
        <v>9</v>
      </c>
      <c r="B11" s="6">
        <v>-0.9833420093701197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0.059637525982659936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1.14003</v>
      </c>
      <c r="C19" s="8" t="s">
        <v>19</v>
      </c>
    </row>
    <row r="20" spans="1:2" x14ac:dyDescent="0.25">
      <c r="A20" t="s">
        <v>20</v>
      </c>
      <c r="B20" s="10">
        <f>B17+B19*B18</f>
        <v>0.09570165000000001</v>
      </c>
    </row>
    <row r="21" spans="1:3" x14ac:dyDescent="0.25">
      <c r="A21" t="s">
        <v>21</v>
      </c>
      <c r="B21" s="6">
        <v>0.053000000000000005</v>
      </c>
      <c r="C21" s="8" t="s">
        <v>22</v>
      </c>
    </row>
    <row r="22" spans="1:2" x14ac:dyDescent="0.25">
      <c r="A22" t="s">
        <v>23</v>
      </c>
      <c r="B22" s="11">
        <v>160434585600</v>
      </c>
    </row>
    <row r="23" spans="1:2" x14ac:dyDescent="0.25">
      <c r="A23" t="s">
        <v>24</v>
      </c>
      <c r="B23" s="11">
        <v>314880000000</v>
      </c>
    </row>
    <row r="24" spans="1:2" x14ac:dyDescent="0.25">
      <c r="A24" t="s">
        <v>25</v>
      </c>
      <c r="B24" s="10">
        <f>B22/(B22+B23)</f>
        <v>0.33753347879590084</v>
      </c>
    </row>
    <row r="25" spans="1:2" x14ac:dyDescent="0.25">
      <c r="A25" t="s">
        <v>26</v>
      </c>
      <c r="B25" s="10">
        <f>1-B24</f>
        <v>0.6624665212040992</v>
      </c>
    </row>
    <row r="26" spans="1:2" x14ac:dyDescent="0.25">
      <c r="A26" t="s">
        <v>27</v>
      </c>
      <c r="B26" s="12">
        <f>B24*B20+B25*B21*(1-B8)</f>
        <v>0.059637525982659936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37097000000</v>
      </c>
      <c r="C29" s="8" t="s">
        <v>30</v>
      </c>
    </row>
    <row r="30" spans="1:2" x14ac:dyDescent="0.25">
      <c r="A30" t="s">
        <v>31</v>
      </c>
      <c r="B30" s="11">
        <v>248913000000</v>
      </c>
    </row>
    <row r="31" spans="1:2" x14ac:dyDescent="0.25">
      <c r="A31" t="s">
        <v>32</v>
      </c>
      <c r="B31" s="13">
        <v>1248000000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0.05592901407051243</v>
      </c>
      <c r="C5" s="10">
        <f>Assumptions!B6</f>
        <v>0.05592901407051243</v>
      </c>
      <c r="D5" s="10">
        <f>Assumptions!B6</f>
        <v>0.05592901407051243</v>
      </c>
      <c r="E5" s="10">
        <f>Assumptions!B6</f>
        <v>0.05592901407051243</v>
      </c>
      <c r="F5" s="10">
        <f>Assumptions!B6</f>
        <v>0.05592901407051243</v>
      </c>
    </row>
    <row r="6" spans="1:6" x14ac:dyDescent="0.25">
      <c r="A6" t="s">
        <v>43</v>
      </c>
      <c r="B6" s="18">
        <f>Assumptions!B29*(1+B5)</f>
        <v>39171798634.9738</v>
      </c>
      <c r="C6" s="18">
        <f>B6*(1+C5)</f>
        <v>41362638711.99653</v>
      </c>
      <c r="D6" s="18">
        <f>C6*(1+D5)</f>
        <v>43676010314.513306</v>
      </c>
      <c r="E6" s="18">
        <f>D6*(1+E5)</f>
        <v>46118766509.93757</v>
      </c>
      <c r="F6" s="18">
        <f>E6*(1+F5)</f>
        <v>48698143650.98654</v>
      </c>
    </row>
    <row r="7" spans="1:6" x14ac:dyDescent="0.25">
      <c r="A7" t="s">
        <v>5</v>
      </c>
      <c r="B7" s="10">
        <f>Assumptions!B7</f>
        <v>0.3235171865886213</v>
      </c>
      <c r="C7" s="10">
        <f>Assumptions!B7</f>
        <v>0.3235171865886213</v>
      </c>
      <c r="D7" s="10">
        <f>Assumptions!B7</f>
        <v>0.3235171865886213</v>
      </c>
      <c r="E7" s="10">
        <f>Assumptions!B7</f>
        <v>0.3235171865886213</v>
      </c>
      <c r="F7" s="10">
        <f>Assumptions!B7</f>
        <v>0.3235171865886213</v>
      </c>
    </row>
    <row r="8" spans="1:6" x14ac:dyDescent="0.25">
      <c r="A8" t="s">
        <v>44</v>
      </c>
      <c r="B8" s="18">
        <f>B6*B7</f>
        <v>12672750088.00272</v>
      </c>
      <c r="C8" s="18">
        <f>C6*C7</f>
        <v>13381524505.98671</v>
      </c>
      <c r="D8" s="18">
        <f>D6*D7</f>
        <v>14129939978.36695</v>
      </c>
      <c r="E8" s="18">
        <f>E6*E7</f>
        <v>14920213590.23253</v>
      </c>
      <c r="F8" s="18">
        <f>F6*F7</f>
        <v>15754686426.055695</v>
      </c>
    </row>
    <row r="9" spans="1:6" x14ac:dyDescent="0.25">
      <c r="A9" t="s">
        <v>45</v>
      </c>
      <c r="B9" s="18">
        <f>B8*(1-Assumptions!B8)</f>
        <v>9866210659.577341</v>
      </c>
      <c r="C9" s="18">
        <f>C8*(1-Assumptions!B8)</f>
        <v>10418018094.37948</v>
      </c>
      <c r="D9" s="18">
        <f>D8*(1-Assumptions!B8)</f>
        <v>11000687574.966885</v>
      </c>
      <c r="E9" s="18">
        <f>E8*(1-Assumptions!B8)</f>
        <v>11615945185.13252</v>
      </c>
      <c r="F9" s="18">
        <f>F8*(1-Assumptions!B8)</f>
        <v>12265613546.834097</v>
      </c>
    </row>
    <row r="10" spans="1:6" x14ac:dyDescent="0.25">
      <c r="A10" t="s">
        <v>46</v>
      </c>
      <c r="B10" s="18">
        <f>B6*Assumptions!B9</f>
        <v>1974346652.8193712</v>
      </c>
      <c r="C10" s="18">
        <f>C6*Assumptions!B9</f>
        <v>2084769914.5449748</v>
      </c>
      <c r="D10" s="18">
        <f>D6*Assumptions!B9</f>
        <v>2201369040.429342</v>
      </c>
      <c r="E10" s="18">
        <f>E6*Assumptions!B9</f>
        <v>2324489440.465905</v>
      </c>
      <c r="F10" s="18">
        <f>F6*Assumptions!B9</f>
        <v>2454495843.08848</v>
      </c>
    </row>
    <row r="11" spans="1:6" x14ac:dyDescent="0.25">
      <c r="A11" t="s">
        <v>47</v>
      </c>
      <c r="B11" s="18">
        <f>-B6*Assumptions!B10</f>
        <v>-548097653.2115816</v>
      </c>
      <c r="C11" s="18">
        <f>-C6*Assumptions!B10</f>
        <v>-578752214.5700669</v>
      </c>
      <c r="D11" s="18">
        <f>-D6*Assumptions!B10</f>
        <v>-611121255.3220965</v>
      </c>
      <c r="E11" s="18">
        <f>-E6*Assumptions!B10</f>
        <v>-645300664.6097952</v>
      </c>
      <c r="F11" s="18">
        <f>-F6*Assumptions!B10</f>
        <v>-681391694.5604675</v>
      </c>
    </row>
    <row r="12" spans="1:6" x14ac:dyDescent="0.25">
      <c r="A12" t="s">
        <v>48</v>
      </c>
      <c r="B12" s="18">
        <f>-(B6-Assumptions!B29)*Assumptions!B11</f>
        <v>2040236658.7535188</v>
      </c>
      <c r="C12" s="18">
        <f>-(C6-B6)*Assumptions!B11</f>
        <v>2154345083.548117</v>
      </c>
      <c r="D12" s="18">
        <f>-(D6-C6)*Assumptions!B11</f>
        <v>2274835480.0386214</v>
      </c>
      <c r="E12" s="18">
        <f>-(E6-D6)*Assumptions!B11</f>
        <v>2402064785.6098037</v>
      </c>
      <c r="F12" s="18">
        <f>-(F6-E6)*Assumptions!B11</f>
        <v>2536409900.802452</v>
      </c>
    </row>
    <row r="13" spans="1:6" x14ac:dyDescent="0.25">
      <c r="A13" s="19" t="s">
        <v>49</v>
      </c>
      <c r="B13" s="20">
        <f>B9+B10+B11+B12</f>
        <v>13332696317.93865</v>
      </c>
      <c r="C13" s="20">
        <f>C9+C10+C11+C12</f>
        <v>14078380877.902506</v>
      </c>
      <c r="D13" s="20">
        <f>D9+D10+D11+D12</f>
        <v>14865770840.112753</v>
      </c>
      <c r="E13" s="20">
        <f>E9+E10+E11+E12</f>
        <v>15697198746.598436</v>
      </c>
      <c r="F13" s="20">
        <f>F9+F10+F11+F12</f>
        <v>16575127596.164562</v>
      </c>
    </row>
    <row r="14" spans="1:6" x14ac:dyDescent="0.25">
      <c r="A14" t="s">
        <v>50</v>
      </c>
      <c r="B14" s="21">
        <f>1/(1+Assumptions!$B$26)^(1-0.5*Assumptions!$B$32)</f>
        <v>0.9714519737759897</v>
      </c>
      <c r="C14" s="21">
        <f>1/(1+Assumptions!$B$26)^(2-0.5*Assumptions!$B$32)</f>
        <v>0.9167776243816103</v>
      </c>
      <c r="D14" s="21">
        <f>1/(1+Assumptions!$B$26)^(3-0.5*Assumptions!$B$32)</f>
        <v>0.865180405470665</v>
      </c>
      <c r="E14" s="21">
        <f>1/(1+Assumptions!$B$26)^(4-0.5*Assumptions!$B$32)</f>
        <v>0.8164871328696439</v>
      </c>
      <c r="F14" s="21">
        <f>1/(1+Assumptions!$B$26)^(5-0.5*Assumptions!$B$32)</f>
        <v>0.7705343693943556</v>
      </c>
    </row>
    <row r="15" spans="1:6" x14ac:dyDescent="0.25">
      <c r="A15" s="19" t="s">
        <v>51</v>
      </c>
      <c r="B15" s="20">
        <f>B13*B14</f>
        <v>12952074153.817371</v>
      </c>
      <c r="C15" s="20">
        <f>C13*C14</f>
        <v>12906744576.382948</v>
      </c>
      <c r="D15" s="20">
        <f>D13*D14</f>
        <v>12861573643.082739</v>
      </c>
      <c r="E15" s="20">
        <f>E13*E14</f>
        <v>12816560798.695126</v>
      </c>
      <c r="F15" s="20">
        <f>F13*F14</f>
        <v>12771705489.941643</v>
      </c>
    </row>
    <row r="17" spans="1:2" x14ac:dyDescent="0.25">
      <c r="A17" s="22" t="s">
        <v>52</v>
      </c>
      <c r="B17" s="23">
        <f>SUM(B15:F15)</f>
        <v>64308658661.91982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16575127596.164562</v>
      </c>
    </row>
    <row r="5" spans="1:2" x14ac:dyDescent="0.25">
      <c r="A5" t="s">
        <v>56</v>
      </c>
      <c r="B5" s="18">
        <f>IF(Assumptions!$B$33=0,B4,B4-Forecast!F11-Forecast!F10-Forecast!F12)</f>
        <v>13331332487.298218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0.4191991466458374</v>
      </c>
    </row>
    <row r="7" spans="1:2" x14ac:dyDescent="0.25">
      <c r="A7" t="s">
        <v>58</v>
      </c>
      <c r="B7" s="18">
        <f>-MAX(Forecast!F9,0)*B6</f>
        <v>-5588483202.327342</v>
      </c>
    </row>
    <row r="8" spans="1:2" x14ac:dyDescent="0.25">
      <c r="A8" t="s">
        <v>59</v>
      </c>
      <c r="B8" s="18">
        <f>IF(OR(Assumptions!$B$33=0,Assumptions!B12&lt;=0),B5,MAX(B5+B7,0))</f>
        <v>7742849284.970876</v>
      </c>
    </row>
    <row r="9" spans="1:2" x14ac:dyDescent="0.25">
      <c r="A9" t="s">
        <v>60</v>
      </c>
      <c r="B9" s="18">
        <f>B8*(1+Assumptions!B12)/(Assumptions!B26-Assumptions!B12)</f>
        <v>229127811295.421</v>
      </c>
    </row>
    <row r="10" spans="1:2" x14ac:dyDescent="0.25">
      <c r="A10" t="s">
        <v>61</v>
      </c>
      <c r="B10" s="18">
        <f>B9/(1+Assumptions!B26)^(5-0.5*Assumptions!B32)</f>
        <v>176550853587.22614</v>
      </c>
    </row>
    <row r="11" spans="1:2" x14ac:dyDescent="0.25">
      <c r="A11" t="s">
        <v>62</v>
      </c>
      <c r="B11" s="18">
        <f>Forecast!B17+B10</f>
        <v>240859512249.14597</v>
      </c>
    </row>
    <row r="12" spans="1:2" x14ac:dyDescent="0.25">
      <c r="A12" t="s">
        <v>63</v>
      </c>
      <c r="B12" s="18">
        <f>-Assumptions!B30</f>
        <v>-248913000000</v>
      </c>
    </row>
    <row r="13" spans="1:2" x14ac:dyDescent="0.25">
      <c r="A13" t="s">
        <v>64</v>
      </c>
      <c r="B13" s="18">
        <f>B11+B12</f>
        <v>-8053487750.854034</v>
      </c>
    </row>
    <row r="14" spans="1:2" x14ac:dyDescent="0.25">
      <c r="A14" s="19" t="s">
        <v>65</v>
      </c>
      <c r="B14" s="24">
        <f>B13/Assumptions!B31</f>
        <v>-6.453115184979194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18209182269.144173</v>
      </c>
    </row>
    <row r="18" spans="1:2" x14ac:dyDescent="0.25">
      <c r="A18" t="s">
        <v>60</v>
      </c>
      <c r="B18" s="18">
        <f>B17*Assumptions!B13</f>
        <v>364183645382.8834</v>
      </c>
    </row>
    <row r="19" spans="1:2" x14ac:dyDescent="0.25">
      <c r="A19" t="s">
        <v>61</v>
      </c>
      <c r="B19" s="18">
        <f>B18/(1+Assumptions!B26)^(5-0.5*Assumptions!B32)</f>
        <v>280616015538.8377</v>
      </c>
    </row>
    <row r="20" spans="1:2" x14ac:dyDescent="0.25">
      <c r="A20" t="s">
        <v>62</v>
      </c>
      <c r="B20" s="18">
        <f>Forecast!B17+B19</f>
        <v>344924674200.7575</v>
      </c>
    </row>
    <row r="21" spans="1:2" x14ac:dyDescent="0.25">
      <c r="A21" t="s">
        <v>63</v>
      </c>
      <c r="B21" s="18">
        <f>-Assumptions!B30</f>
        <v>-248913000000</v>
      </c>
    </row>
    <row r="22" spans="1:2" x14ac:dyDescent="0.25">
      <c r="A22" t="s">
        <v>64</v>
      </c>
      <c r="B22" s="18">
        <f>B20+B21</f>
        <v>96011674200.7575</v>
      </c>
    </row>
    <row r="23" spans="1:2" x14ac:dyDescent="0.25">
      <c r="A23" s="19" t="s">
        <v>65</v>
      </c>
      <c r="B23" s="25">
        <f>B22/Assumptions!B31</f>
        <v>76.93243125060698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131.63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-6.453115184979194</v>
      </c>
    </row>
    <row r="29" spans="1:2" x14ac:dyDescent="0.25">
      <c r="A29" s="19" t="s">
        <v>73</v>
      </c>
      <c r="B29" s="12">
        <f>B28/B26-1</f>
        <v>-1.049024653840152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0.039638</v>
      </c>
      <c r="B5" s="31">
        <v>84.24423663512245</v>
      </c>
      <c r="C5" s="31">
        <v>85.37545798399647</v>
      </c>
      <c r="D5" s="31">
        <v>86.50667933287049</v>
      </c>
      <c r="E5" s="31">
        <v>87.6379006817446</v>
      </c>
      <c r="F5" s="31">
        <v>88.76912203061842</v>
      </c>
    </row>
    <row r="6" spans="1:6" x14ac:dyDescent="0.25">
      <c r="A6" s="30">
        <v>0.049638</v>
      </c>
      <c r="B6" s="31">
        <v>28.960913569382058</v>
      </c>
      <c r="C6" s="31">
        <v>29.826153893827488</v>
      </c>
      <c r="D6" s="31">
        <v>30.69139421827297</v>
      </c>
      <c r="E6" s="31">
        <v>31.55663454271845</v>
      </c>
      <c r="F6" s="31">
        <v>32.42187486716388</v>
      </c>
    </row>
    <row r="7" spans="1:6" x14ac:dyDescent="0.25">
      <c r="A7" s="30">
        <v>0.059638</v>
      </c>
      <c r="B7" s="31">
        <v>-7.834734238972664</v>
      </c>
      <c r="C7" s="31">
        <v>-7.144658039317204</v>
      </c>
      <c r="D7" s="32">
        <v>-6.45458183966177</v>
      </c>
      <c r="E7" s="31">
        <v>-5.764505640006334</v>
      </c>
      <c r="F7" s="31">
        <v>-5.074429440350875</v>
      </c>
    </row>
    <row r="8" spans="1:6" x14ac:dyDescent="0.25">
      <c r="A8" s="30">
        <v>0.069638</v>
      </c>
      <c r="B8" s="31">
        <v>-34.104357957418735</v>
      </c>
      <c r="C8" s="31">
        <v>-33.53783569028057</v>
      </c>
      <c r="D8" s="31">
        <v>-32.971313423142504</v>
      </c>
      <c r="E8" s="31">
        <v>-32.40479115600439</v>
      </c>
      <c r="F8" s="31">
        <v>-31.838268888866278</v>
      </c>
    </row>
    <row r="9" spans="1:6" x14ac:dyDescent="0.25">
      <c r="A9" s="30">
        <v>0.079638</v>
      </c>
      <c r="B9" s="31">
        <v>-53.81086672256113</v>
      </c>
      <c r="C9" s="31">
        <v>-53.33579748942128</v>
      </c>
      <c r="D9" s="31">
        <v>-52.86072825628144</v>
      </c>
      <c r="E9" s="31">
        <v>-52.38565902314157</v>
      </c>
      <c r="F9" s="31">
        <v>-51.910589790001744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37097000000</v>
      </c>
      <c r="C5" s="18">
        <v>33615000000</v>
      </c>
      <c r="D5" s="18">
        <v>31694000000</v>
      </c>
      <c r="E5" s="18">
        <v>31509000000</v>
      </c>
      <c r="F5" s="8" t="s">
        <v>84</v>
      </c>
    </row>
    <row r="6" spans="1:6" x14ac:dyDescent="0.25">
      <c r="A6" t="s">
        <v>44</v>
      </c>
      <c r="B6" s="18">
        <v>10509000000</v>
      </c>
      <c r="C6" s="18">
        <v>9924000000</v>
      </c>
      <c r="D6" s="18">
        <v>9671000000</v>
      </c>
      <c r="E6" s="18">
        <v>12932000000</v>
      </c>
      <c r="F6" s="8" t="s">
        <v>85</v>
      </c>
    </row>
    <row r="7" spans="1:6" x14ac:dyDescent="0.25">
      <c r="A7" t="s">
        <v>86</v>
      </c>
      <c r="B7" s="18">
        <v>1604000000</v>
      </c>
      <c r="C7" s="18">
        <v>1760000000</v>
      </c>
      <c r="D7" s="18">
        <v>1820000000</v>
      </c>
      <c r="E7" s="18">
        <v>1531000000</v>
      </c>
      <c r="F7" s="8" t="s">
        <v>87</v>
      </c>
    </row>
    <row r="8" spans="1:6" x14ac:dyDescent="0.25">
      <c r="A8" t="s">
        <v>88</v>
      </c>
      <c r="B8" s="18">
        <v>347000000</v>
      </c>
      <c r="C8" s="18">
        <v>489000000</v>
      </c>
      <c r="D8" s="18">
        <v>442000000</v>
      </c>
      <c r="E8" s="18">
        <v>571000000</v>
      </c>
      <c r="F8" s="8" t="s">
        <v>89</v>
      </c>
    </row>
    <row r="9" spans="1:6" x14ac:dyDescent="0.25">
      <c r="A9" t="s">
        <v>90</v>
      </c>
      <c r="B9" s="18">
        <v>7929000000</v>
      </c>
      <c r="C9" s="18">
        <v>-1889000000</v>
      </c>
      <c r="D9" s="18">
        <v>-15477000000</v>
      </c>
      <c r="E9" s="18">
        <v>-3064000000</v>
      </c>
      <c r="F9" s="8" t="s">
        <v>91</v>
      </c>
    </row>
    <row r="10" spans="1:6" x14ac:dyDescent="0.25">
      <c r="A10" t="s">
        <v>92</v>
      </c>
      <c r="B10" s="18">
        <v>314880000000</v>
      </c>
      <c r="C10" s="18">
        <v>300673000000</v>
      </c>
      <c r="D10" s="18">
        <v>313813000000</v>
      </c>
      <c r="E10" s="18">
        <v>310855000000</v>
      </c>
      <c r="F10" s="8" t="s">
        <v>93</v>
      </c>
    </row>
    <row r="11" spans="1:6" x14ac:dyDescent="0.25">
      <c r="A11" t="s">
        <v>94</v>
      </c>
      <c r="B11" s="18">
        <v>65967000000</v>
      </c>
      <c r="C11" s="18">
        <v>63860000000</v>
      </c>
      <c r="D11" s="18">
        <v>90312000000</v>
      </c>
      <c r="E11" s="18">
        <v>65895000000</v>
      </c>
      <c r="F11" s="8" t="s">
        <v>95</v>
      </c>
    </row>
    <row r="12" spans="1:6" x14ac:dyDescent="0.25">
      <c r="A12" t="s">
        <v>32</v>
      </c>
      <c r="B12" s="34">
        <v>1248000000</v>
      </c>
      <c r="C12" s="34">
        <v>1232000000</v>
      </c>
      <c r="D12" s="34">
        <v>1204000000</v>
      </c>
      <c r="E12" s="34">
        <v>1208000000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2026-09-19T00:07:19Z</dcterms:modified>
</cp:coreProperties>
</file>