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<sst xmlns="http://schemas.openxmlformats.org/spreadsheetml/2006/main" count="113" uniqueCount="101">
  <si>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The Bank of New York Mellon Corporation (BNY)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</si>
  <si>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</si>
  <si>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</si>
  <si>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</si>
  <si>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</si>
  <si>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</si>
  <si>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</si>
  <si>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</si>
  <si>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</si>
  <si>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</si>
  <si>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</si>
  <si>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</si>
  <si>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</si>
  <si>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</si>
  <si>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</si>
  <si>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</si>
  <si>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</si>
  <si>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</si>
  <si>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</si>
  <si>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</si>
  <si>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</si>
  <si>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</si>
  <si>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Implied cost of debt of 63.0%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</si>
  <si>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</si>
  <si>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</si>
  <si>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</si>
  <si>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</si>
  <si>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</si>
  <si>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</si>
  <si>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</si>
  <si>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</si>
  <si>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</si>
  <si>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</si>
  <si>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</si>
  <si>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</si>
  <si>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</si>
  <si>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</si>
  <si>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</si>
  <si>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</si>
  <si>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</si>
  <si>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</si>
  <si>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</si>
  <si>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</si>
  <si>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</si>
  <si>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</si>
  <si>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</si>
  <si>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</si>
  <si>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</si>
  <si>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</si>
  <si>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</si>
  <si>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</si>
  <si>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</si>
  <si>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</si>
  <si>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</si>
  <si>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</si>
  <si>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</si>
  <si>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</si>
  <si>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</si>
  <si>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</si>
  <si>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</si>
  <si>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</si>
  <si>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</si>
  <si>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</si>
  <si>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</si>
  <si>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</si>
  <si>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</si>
  <si>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</si>
  <si>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</si>
  <si>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</si>
  <si>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</si>
  <si>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</si>
  <si>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</si>
  <si>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</si>
  <si>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</si>
  <si>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</si>
  <si>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</si>
  <si>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</si>
  <si>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</si>
  <si>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</si>
  <si>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</si>
  <si>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</si>
  <si>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</si>
  <si>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</si>
  <si>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</si>
  <si>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</si>
  <si>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</si>
  <si>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</si>
  <si>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</si>
  <si>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</si>
  <si>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</si>
  <si>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</si>
  <si>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</si>
  <si>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</si>
  <si>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</si>
  <si>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</si>
  <si>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</si>
  <si>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</si>
  <si>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</si>
  <si>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</si>
  <si>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Current EV/EBITDA of 1.1x sits outside a defensible 3-20x band, so the exit multiple is capped at 3.0x.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</si>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</sst>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0.06874757353828742</v>
      </c>
    </row>
    <row r="7" spans="1:2" x14ac:dyDescent="0.25">
      <c r="A7" t="s">
        <v>5</v>
      </c>
      <c r="B7" s="6">
        <v>0.284861767387931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0.10278178015611214</v>
      </c>
    </row>
    <row r="10" spans="1:2" x14ac:dyDescent="0.25">
      <c r="A10" t="s">
        <v>8</v>
      </c>
      <c r="B10" s="6">
        <v>0.07813864745554587</v>
      </c>
    </row>
    <row r="11" spans="1:2" x14ac:dyDescent="0.25">
      <c r="A11" t="s">
        <v>9</v>
      </c>
      <c r="B11" s="6">
        <v>0.5416389073950699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</v>
      </c>
    </row>
    <row r="14" spans="1:3" x14ac:dyDescent="0.25">
      <c r="A14" t="s">
        <v>12</v>
      </c>
      <c r="B14" s="6">
        <v>0.0940175009059027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1.0321600000000002</v>
      </c>
      <c r="C19" s="8" t="s">
        <v>19</v>
      </c>
    </row>
    <row r="20" spans="1:2" x14ac:dyDescent="0.25">
      <c r="A20" t="s">
        <v>20</v>
      </c>
      <c r="B20" s="10">
        <f>B17+B19*B18</f>
        <v>0.1067488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104347148288</v>
      </c>
    </row>
    <row r="23" spans="1:2" x14ac:dyDescent="0.25">
      <c r="A23" t="s">
        <v>24</v>
      </c>
      <c r="B23" s="11">
        <v>34298000000</v>
      </c>
    </row>
    <row r="24" spans="1:2" x14ac:dyDescent="0.25">
      <c r="A24" t="s">
        <v>25</v>
      </c>
      <c r="B24" s="10">
        <f>B22/(B22+B23)</f>
        <v>0.7526202653066905</v>
      </c>
    </row>
    <row r="25" spans="1:2" x14ac:dyDescent="0.25">
      <c r="A25" t="s">
        <v>26</v>
      </c>
      <c r="B25" s="10">
        <f>1-B24</f>
        <v>0.24737973469330954</v>
      </c>
    </row>
    <row r="26" spans="1:2" x14ac:dyDescent="0.25">
      <c r="A26" t="s">
        <v>27</v>
      </c>
      <c r="B26" s="12">
        <f>B24*B20+B25*B21*(1-B8)</f>
        <v>0.0940175009059027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19759000000</v>
      </c>
      <c r="C29" s="8" t="s">
        <v>30</v>
      </c>
    </row>
    <row r="30" spans="1:2" x14ac:dyDescent="0.25">
      <c r="A30" t="s">
        <v>31</v>
      </c>
      <c r="B30" s="11">
        <v>-94371000000</v>
      </c>
    </row>
    <row r="31" spans="1:2" x14ac:dyDescent="0.25">
      <c r="A31" t="s">
        <v>32</v>
      </c>
      <c r="B31" s="13">
        <v>716718000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0.06874757353828742</v>
      </c>
      <c r="C5" s="10">
        <f>Assumptions!B6</f>
        <v>0.06874757353828742</v>
      </c>
      <c r="D5" s="10">
        <f>Assumptions!B6</f>
        <v>0.06874757353828742</v>
      </c>
      <c r="E5" s="10">
        <f>Assumptions!B6</f>
        <v>0.06874757353828742</v>
      </c>
      <c r="F5" s="10">
        <f>Assumptions!B6</f>
        <v>0.06874757353828742</v>
      </c>
    </row>
    <row r="6" spans="1:6" x14ac:dyDescent="0.25">
      <c r="A6" t="s">
        <v>43</v>
      </c>
      <c r="B6" s="18">
        <f>Assumptions!B29*(1+B5)</f>
        <v>21117383305.543022</v>
      </c>
      <c r="C6" s="18">
        <f>B6*(1+C5)</f>
        <v>22569152167.277042</v>
      </c>
      <c r="D6" s="18">
        <f>C6*(1+D5)</f>
        <v>24120726615.59372</v>
      </c>
      <c r="E6" s="18">
        <f>D6*(1+E5)</f>
        <v>25778968042.396175</v>
      </c>
      <c r="F6" s="18">
        <f>E6*(1+F5)</f>
        <v>27551209543.63197</v>
      </c>
    </row>
    <row r="7" spans="1:6" x14ac:dyDescent="0.25">
      <c r="A7" t="s">
        <v>5</v>
      </c>
      <c r="B7" s="10">
        <f>Assumptions!B7</f>
        <v>0.284861767387931</v>
      </c>
      <c r="C7" s="10">
        <f>Assumptions!B7</f>
        <v>0.284861767387931</v>
      </c>
      <c r="D7" s="10">
        <f>Assumptions!B7</f>
        <v>0.284861767387931</v>
      </c>
      <c r="E7" s="10">
        <f>Assumptions!B7</f>
        <v>0.284861767387931</v>
      </c>
      <c r="F7" s="10">
        <f>Assumptions!B7</f>
        <v>0.284861767387931</v>
      </c>
    </row>
    <row r="8" spans="1:6" x14ac:dyDescent="0.25">
      <c r="A8" t="s">
        <v>44</v>
      </c>
      <c r="B8" s="18">
        <f>B6*B7</f>
        <v>6015535131.025374</v>
      </c>
      <c r="C8" s="18">
        <f>C6*C7</f>
        <v>6429088574.817692</v>
      </c>
      <c r="D8" s="18">
        <f>D6*D7</f>
        <v>6871072814.399135</v>
      </c>
      <c r="E8" s="18">
        <f>E6*E7</f>
        <v>7343442397.993966</v>
      </c>
      <c r="F8" s="18">
        <f>F6*F7</f>
        <v>7848286244.274235</v>
      </c>
    </row>
    <row r="9" spans="1:6" x14ac:dyDescent="0.25">
      <c r="A9" t="s">
        <v>45</v>
      </c>
      <c r="B9" s="18">
        <f>B8*(1-Assumptions!B8)</f>
        <v>4752272753.510046</v>
      </c>
      <c r="C9" s="18">
        <f>C8*(1-Assumptions!B8)</f>
        <v>5078979974.105977</v>
      </c>
      <c r="D9" s="18">
        <f>D8*(1-Assumptions!B8)</f>
        <v>5428147523.375317</v>
      </c>
      <c r="E9" s="18">
        <f>E8*(1-Assumptions!B8)</f>
        <v>5801319494.415234</v>
      </c>
      <c r="F9" s="18">
        <f>F8*(1-Assumptions!B8)</f>
        <v>6200146132.976645</v>
      </c>
    </row>
    <row r="10" spans="1:6" x14ac:dyDescent="0.25">
      <c r="A10" t="s">
        <v>46</v>
      </c>
      <c r="B10" s="18">
        <f>B6*Assumptions!B9</f>
        <v>2170482248.3826756</v>
      </c>
      <c r="C10" s="18">
        <f>C6*Assumptions!B9</f>
        <v>2319697636.366911</v>
      </c>
      <c r="D10" s="18">
        <f>D6*Assumptions!B9</f>
        <v>2479171220.2096367</v>
      </c>
      <c r="E10" s="18">
        <f>E6*Assumptions!B9</f>
        <v>2649608225.9850044</v>
      </c>
      <c r="F10" s="18">
        <f>F6*Assumptions!B9</f>
        <v>2831762362.34856</v>
      </c>
    </row>
    <row r="11" spans="1:6" x14ac:dyDescent="0.25">
      <c r="A11" t="s">
        <v>47</v>
      </c>
      <c r="B11" s="18">
        <f>-B6*Assumptions!B10</f>
        <v>-1650083769.2954562</v>
      </c>
      <c r="C11" s="18">
        <f>-C6*Assumptions!B10</f>
        <v>-1763523024.5694299</v>
      </c>
      <c r="D11" s="18">
        <f>-D6*Assumptions!B10</f>
        <v>-1884760953.3874798</v>
      </c>
      <c r="E11" s="18">
        <f>-E6*Assumptions!B10</f>
        <v>-2014333695.6325781</v>
      </c>
      <c r="F11" s="18">
        <f>-F6*Assumptions!B10</f>
        <v>-2152814249.5037293</v>
      </c>
    </row>
    <row r="12" spans="1:6" x14ac:dyDescent="0.25">
      <c r="A12" t="s">
        <v>48</v>
      </c>
      <c r="B12" s="18">
        <f>-(B6-Assumptions!B29)*Assumptions!B11</f>
        <v>-735753249.438026</v>
      </c>
      <c r="C12" s="18">
        <f>-(C6-B6)*Assumptions!B11</f>
        <v>-786334500.0597991</v>
      </c>
      <c r="D12" s="18">
        <f>-(D6-C6)*Assumptions!B11</f>
        <v>-840393088.9283534</v>
      </c>
      <c r="E12" s="18">
        <f>-(E6-D6)*Assumptions!B11</f>
        <v>-898168074.610524</v>
      </c>
      <c r="F12" s="18">
        <f>-(F6-E6)*Assumptions!B11</f>
        <v>-959914950.3695539</v>
      </c>
    </row>
    <row r="13" spans="1:6" x14ac:dyDescent="0.25">
      <c r="A13" s="19" t="s">
        <v>49</v>
      </c>
      <c r="B13" s="20">
        <f>B9+B10+B11+B12</f>
        <v>4536917983.159239</v>
      </c>
      <c r="C13" s="20">
        <f>C9+C10+C11+C12</f>
        <v>4848820085.843658</v>
      </c>
      <c r="D13" s="20">
        <f>D9+D10+D11+D12</f>
        <v>5182164701.26912</v>
      </c>
      <c r="E13" s="20">
        <f>E9+E10+E11+E12</f>
        <v>5538425950.157136</v>
      </c>
      <c r="F13" s="20">
        <f>F9+F10+F11+F12</f>
        <v>5919179295.451922</v>
      </c>
    </row>
    <row r="14" spans="1:6" x14ac:dyDescent="0.25">
      <c r="A14" t="s">
        <v>50</v>
      </c>
      <c r="B14" s="21">
        <f>1/(1+Assumptions!$B$26)^(1-0.5*Assumptions!$B$32)</f>
        <v>0.9560659810077726</v>
      </c>
      <c r="C14" s="21">
        <f>1/(1+Assumptions!$B$26)^(2-0.5*Assumptions!$B$32)</f>
        <v>0.8739037357410651</v>
      </c>
      <c r="D14" s="21">
        <f>1/(1+Assumptions!$B$26)^(3-0.5*Assumptions!$B$32)</f>
        <v>0.7988023363588131</v>
      </c>
      <c r="E14" s="21">
        <f>1/(1+Assumptions!$B$26)^(4-0.5*Assumptions!$B$32)</f>
        <v>0.7301549890174186</v>
      </c>
      <c r="F14" s="21">
        <f>1/(1+Assumptions!$B$26)^(5-0.5*Assumptions!$B$32)</f>
        <v>0.667407046425503</v>
      </c>
    </row>
    <row r="15" spans="1:6" x14ac:dyDescent="0.25">
      <c r="A15" s="19" t="s">
        <v>51</v>
      </c>
      <c r="B15" s="20">
        <f>B13*B14</f>
        <v>4337592942.320943</v>
      </c>
      <c r="C15" s="20">
        <f>C13*C14</f>
        <v>4237401986.955085</v>
      </c>
      <c r="D15" s="20">
        <f>D13*D14</f>
        <v>4139525270.769944</v>
      </c>
      <c r="E15" s="20">
        <f>E13*E14</f>
        <v>4043909338.8107696</v>
      </c>
      <c r="F15" s="20">
        <f>F13*F14</f>
        <v>3950501970.840557</v>
      </c>
    </row>
    <row r="17" spans="1:2" x14ac:dyDescent="0.25">
      <c r="A17" s="22" t="s">
        <v>52</v>
      </c>
      <c r="B17" s="23">
        <f>SUM(B15:F15)</f>
        <v>20708931509.697296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5919179295.451922</v>
      </c>
    </row>
    <row r="5" spans="1:2" x14ac:dyDescent="0.25">
      <c r="A5" t="s">
        <v>56</v>
      </c>
      <c r="B5" s="18">
        <f>IF(Assumptions!$B$33=0,B4,B4-Forecast!F11-Forecast!F10-Forecast!F12)</f>
        <v>6200146132.976645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0.26590794010809987</v>
      </c>
    </row>
    <row r="7" spans="1:2" x14ac:dyDescent="0.25">
      <c r="A7" t="s">
        <v>58</v>
      </c>
      <c r="B7" s="18">
        <f>-MAX(Forecast!F9,0)*B6</f>
        <v>-1648668086.589021</v>
      </c>
    </row>
    <row r="8" spans="1:2" x14ac:dyDescent="0.25">
      <c r="A8" t="s">
        <v>59</v>
      </c>
      <c r="B8" s="18">
        <f>IF(OR(Assumptions!$B$33=0,Assumptions!B12&lt;=0),B5,MAX(B5+B7,0))</f>
        <v>4551478046.387625</v>
      </c>
    </row>
    <row r="9" spans="1:2" x14ac:dyDescent="0.25">
      <c r="A9" t="s">
        <v>60</v>
      </c>
      <c r="B9" s="18">
        <f>B8*(1+Assumptions!B12)/(Assumptions!B26-Assumptions!B12)</f>
        <v>67595391550.14985</v>
      </c>
    </row>
    <row r="10" spans="1:2" x14ac:dyDescent="0.25">
      <c r="A10" t="s">
        <v>61</v>
      </c>
      <c r="B10" s="18">
        <f>B9/(1+Assumptions!B26)^(5-0.5*Assumptions!B32)</f>
        <v>45113640626.460915</v>
      </c>
    </row>
    <row r="11" spans="1:2" x14ac:dyDescent="0.25">
      <c r="A11" t="s">
        <v>62</v>
      </c>
      <c r="B11" s="18">
        <f>Forecast!B17+B10</f>
        <v>65822572136.15821</v>
      </c>
    </row>
    <row r="12" spans="1:2" x14ac:dyDescent="0.25">
      <c r="A12" t="s">
        <v>63</v>
      </c>
      <c r="B12" s="18">
        <f>-Assumptions!B30</f>
        <v>94371000000</v>
      </c>
    </row>
    <row r="13" spans="1:2" x14ac:dyDescent="0.25">
      <c r="A13" t="s">
        <v>64</v>
      </c>
      <c r="B13" s="18">
        <f>B11+B12</f>
        <v>160193572136.1582</v>
      </c>
    </row>
    <row r="14" spans="1:2" x14ac:dyDescent="0.25">
      <c r="A14" s="19" t="s">
        <v>65</v>
      </c>
      <c r="B14" s="24">
        <f>B13/Assumptions!B31</f>
        <v>223.50990506190467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10680048606.622795</v>
      </c>
    </row>
    <row r="18" spans="1:2" x14ac:dyDescent="0.25">
      <c r="A18" t="s">
        <v>60</v>
      </c>
      <c r="B18" s="18">
        <f>B17*Assumptions!B13</f>
        <v>32040145819.868385</v>
      </c>
    </row>
    <row r="19" spans="1:2" x14ac:dyDescent="0.25">
      <c r="A19" t="s">
        <v>61</v>
      </c>
      <c r="B19" s="18">
        <f>B18/(1+Assumptions!B26)^(5-0.5*Assumptions!B32)</f>
        <v>21383819088.680786</v>
      </c>
    </row>
    <row r="20" spans="1:2" x14ac:dyDescent="0.25">
      <c r="A20" t="s">
        <v>62</v>
      </c>
      <c r="B20" s="18">
        <f>Forecast!B17+B19</f>
        <v>42092750598.37808</v>
      </c>
    </row>
    <row r="21" spans="1:2" x14ac:dyDescent="0.25">
      <c r="A21" t="s">
        <v>63</v>
      </c>
      <c r="B21" s="18">
        <f>-Assumptions!B30</f>
        <v>94371000000</v>
      </c>
    </row>
    <row r="22" spans="1:2" x14ac:dyDescent="0.25">
      <c r="A22" t="s">
        <v>64</v>
      </c>
      <c r="B22" s="18">
        <f>B20+B21</f>
        <v>136463750598.37808</v>
      </c>
    </row>
    <row r="23" spans="1:2" x14ac:dyDescent="0.25">
      <c r="A23" s="19" t="s">
        <v>65</v>
      </c>
      <c r="B23" s="25">
        <f>B22/Assumptions!B31</f>
        <v>190.4008977008783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153.79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223.50990506190467</v>
      </c>
    </row>
    <row r="29" spans="1:2" x14ac:dyDescent="0.25">
      <c r="A29" s="19" t="s">
        <v>73</v>
      </c>
      <c r="B29" s="12">
        <f>B28/B26-1</f>
        <v>0.4533448537740079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0.074018</v>
      </c>
      <c r="B5" s="31">
        <v>247.93942370088223</v>
      </c>
      <c r="C5" s="31">
        <v>248.36319764677955</v>
      </c>
      <c r="D5" s="31">
        <v>248.78697159267676</v>
      </c>
      <c r="E5" s="31">
        <v>249.2107455385741</v>
      </c>
      <c r="F5" s="31">
        <v>249.63451948447135</v>
      </c>
    </row>
    <row r="6" spans="1:6" x14ac:dyDescent="0.25">
      <c r="A6" s="30">
        <v>0.084018</v>
      </c>
      <c r="B6" s="31">
        <v>233.9173158673627</v>
      </c>
      <c r="C6" s="31">
        <v>234.27540163295566</v>
      </c>
      <c r="D6" s="31">
        <v>234.6334873985486</v>
      </c>
      <c r="E6" s="31">
        <v>234.99157316414158</v>
      </c>
      <c r="F6" s="31">
        <v>235.3496589297345</v>
      </c>
    </row>
    <row r="7" spans="1:6" x14ac:dyDescent="0.25">
      <c r="A7" s="30">
        <v>0.094018</v>
      </c>
      <c r="B7" s="31">
        <v>222.8953186892366</v>
      </c>
      <c r="C7" s="31">
        <v>223.2023640259583</v>
      </c>
      <c r="D7" s="32">
        <v>223.50940936267997</v>
      </c>
      <c r="E7" s="31">
        <v>223.81645469940162</v>
      </c>
      <c r="F7" s="31">
        <v>224.12350003612326</v>
      </c>
    </row>
    <row r="8" spans="1:6" x14ac:dyDescent="0.25">
      <c r="A8" s="30">
        <v>0.104018</v>
      </c>
      <c r="B8" s="31">
        <v>214.00733997908313</v>
      </c>
      <c r="C8" s="31">
        <v>214.27373274379534</v>
      </c>
      <c r="D8" s="31">
        <v>214.54012550850751</v>
      </c>
      <c r="E8" s="31">
        <v>214.80651827321975</v>
      </c>
      <c r="F8" s="31">
        <v>215.0729110379319</v>
      </c>
    </row>
    <row r="9" spans="1:6" x14ac:dyDescent="0.25">
      <c r="A9" s="30">
        <v>0.114018</v>
      </c>
      <c r="B9" s="31">
        <v>206.69117723335827</v>
      </c>
      <c r="C9" s="31">
        <v>206.92454198714765</v>
      </c>
      <c r="D9" s="31">
        <v>207.15790674093702</v>
      </c>
      <c r="E9" s="31">
        <v>207.3912714947264</v>
      </c>
      <c r="F9" s="31">
        <v>207.62463624851577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19759000000</v>
      </c>
      <c r="C5" s="18">
        <v>18258000000</v>
      </c>
      <c r="D5" s="18">
        <v>17344000000</v>
      </c>
      <c r="E5" s="18">
        <v>16186000000</v>
      </c>
      <c r="F5" s="8" t="s">
        <v>84</v>
      </c>
    </row>
    <row r="6" spans="1:6" x14ac:dyDescent="0.25">
      <c r="A6" t="s">
        <v>44</v>
      </c>
      <c r="B6" s="18">
        <v>7058000000</v>
      </c>
      <c r="C6" s="18">
        <v>5848000000</v>
      </c>
      <c r="D6" s="18">
        <v>4283000000</v>
      </c>
      <c r="E6" s="18">
        <v>3480000000</v>
      </c>
      <c r="F6" s="8" t="s">
        <v>85</v>
      </c>
    </row>
    <row r="7" spans="1:6" x14ac:dyDescent="0.25">
      <c r="A7" t="s">
        <v>86</v>
      </c>
      <c r="B7" s="18">
        <v>1852000000</v>
      </c>
      <c r="C7" s="18">
        <v>1803000000</v>
      </c>
      <c r="D7" s="18">
        <v>1887000000</v>
      </c>
      <c r="E7" s="18">
        <v>1778000000</v>
      </c>
      <c r="F7" s="8" t="s">
        <v>87</v>
      </c>
    </row>
    <row r="8" spans="1:6" x14ac:dyDescent="0.25">
      <c r="A8" t="s">
        <v>88</v>
      </c>
      <c r="B8" s="18">
        <v>1553000000</v>
      </c>
      <c r="C8" s="18">
        <v>1469000000</v>
      </c>
      <c r="D8" s="18">
        <v>1220000000</v>
      </c>
      <c r="E8" s="18">
        <v>1346000000</v>
      </c>
      <c r="F8" s="8" t="s">
        <v>89</v>
      </c>
    </row>
    <row r="9" spans="1:6" x14ac:dyDescent="0.25">
      <c r="A9" t="s">
        <v>90</v>
      </c>
      <c r="B9" s="18">
        <v>813000000</v>
      </c>
      <c r="C9" s="18">
        <v>5451000000</v>
      </c>
      <c r="D9" s="18">
        <v>-925000000</v>
      </c>
      <c r="E9" s="18">
        <v>-9396000000</v>
      </c>
      <c r="F9" s="8" t="s">
        <v>91</v>
      </c>
    </row>
    <row r="10" spans="1:6" x14ac:dyDescent="0.25">
      <c r="A10" t="s">
        <v>92</v>
      </c>
      <c r="B10" s="18">
        <v>34298000000</v>
      </c>
      <c r="C10" s="18">
        <v>31380000000</v>
      </c>
      <c r="D10" s="18">
        <v>31736000000</v>
      </c>
      <c r="E10" s="18">
        <v>30855000000</v>
      </c>
      <c r="F10" s="8" t="s">
        <v>93</v>
      </c>
    </row>
    <row r="11" spans="1:6" x14ac:dyDescent="0.25">
      <c r="A11" t="s">
        <v>94</v>
      </c>
      <c r="B11" s="18">
        <v>128669000000</v>
      </c>
      <c r="C11" s="18">
        <v>101937000000</v>
      </c>
      <c r="D11" s="18">
        <v>125191000000</v>
      </c>
      <c r="E11" s="18">
        <v>107355000000</v>
      </c>
      <c r="F11" s="8" t="s">
        <v>95</v>
      </c>
    </row>
    <row r="12" spans="1:6" x14ac:dyDescent="0.25">
      <c r="A12" t="s">
        <v>32</v>
      </c>
      <c r="B12" s="34">
        <v>716718000</v>
      </c>
      <c r="C12" s="34">
        <v>748101000</v>
      </c>
      <c r="D12" s="34">
        <v>787798000</v>
      </c>
      <c r="E12" s="34">
        <v>814795000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2026-09-19T00:08:13Z</dcterms:modified>
</cp:coreProperties>
</file>