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<sst xmlns="http://schemas.openxmlformats.org/spreadsheetml/2006/main" count="70" uniqueCount="67">
  <si>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The Bank of New York Mellon Corporation (BNY)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</si>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</sst>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1.0040200000000001</v>
      </c>
    </row>
    <row r="9" spans="1:2" x14ac:dyDescent="0.25">
      <c r="A9" t="s">
        <v>8</v>
      </c>
      <c r="B9" s="8">
        <f>B6+B8*B7</f>
        <v>0.09141004600000001</v>
      </c>
    </row>
    <row r="10" spans="1:2" x14ac:dyDescent="0.25">
      <c r="A10" t="s">
        <v>9</v>
      </c>
      <c r="B10" s="8">
        <f>MEDIAN('Source data'!B9:E9)</f>
        <v>0.11903258571938398</v>
      </c>
    </row>
    <row r="11" spans="1:2" x14ac:dyDescent="0.25">
      <c r="A11" t="s">
        <v>10</v>
      </c>
      <c r="B11" s="8">
        <f>IFERROR(MIN(MAX(MEDIAN('Source data'!B10:E10),0),1),0)</f>
        <v>0.3556273062730627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39477000000</v>
      </c>
    </row>
    <row r="15" spans="1:2" x14ac:dyDescent="0.25">
      <c r="A15" t="s">
        <v>14</v>
      </c>
      <c r="B15" s="10">
        <f>'Source data'!B8</f>
        <v>716718000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0.07670134790128202</v>
      </c>
    </row>
    <row r="18" spans="1:2" x14ac:dyDescent="0.25">
      <c r="A18" t="s">
        <v>17</v>
      </c>
      <c r="B18" s="8">
        <f>MIN(B10,B12)</f>
        <v>0.11903258571938398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0.11903258571938398</v>
      </c>
      <c r="C22" s="8">
        <f>$B$10+($B$18-$B$10)*C21/$B$16</f>
        <v>0.11903258571938398</v>
      </c>
      <c r="D22" s="8">
        <f>$B$10+($B$18-$B$10)*D21/$B$16</f>
        <v>0.11903258571938398</v>
      </c>
      <c r="E22" s="8">
        <f>$B$10+($B$18-$B$10)*E21/$B$16</f>
        <v>0.11903258571938398</v>
      </c>
      <c r="F22" s="8">
        <f>$B$10+($B$18-$B$10)*F21/$B$16</f>
        <v>0.11903258571938398</v>
      </c>
      <c r="G22" s="8">
        <f>$B$10+($B$18-$B$10)*G21/$B$16</f>
        <v>0.11903258571938398</v>
      </c>
      <c r="H22" s="8">
        <f>$B$10+($B$18-$B$10)*H21/$B$16</f>
        <v>0.11903258571938398</v>
      </c>
      <c r="I22" s="8">
        <f>$B$10+($B$18-$B$10)*I21/$B$16</f>
        <v>0.11903258571938398</v>
      </c>
      <c r="J22" s="8">
        <f>$B$10+($B$18-$B$10)*J21/$B$16</f>
        <v>0.11903258571938398</v>
      </c>
      <c r="K22" s="8">
        <f>$B$10+($B$18-$B$10)*K21/$B$16</f>
        <v>0.11903258571938398</v>
      </c>
    </row>
    <row r="23" spans="1:11" x14ac:dyDescent="0.25">
      <c r="A23" t="s">
        <v>31</v>
      </c>
      <c r="B23" s="8">
        <f>$B$17+($B$13-$B$17)*B21/$B$16</f>
        <v>0.07153121311115382</v>
      </c>
      <c r="C23" s="8">
        <f>$B$17+($B$13-$B$17)*C21/$B$16</f>
        <v>0.06636107832102561</v>
      </c>
      <c r="D23" s="8">
        <f>$B$17+($B$13-$B$17)*D21/$B$16</f>
        <v>0.06119094353089742</v>
      </c>
      <c r="E23" s="8">
        <f>$B$17+($B$13-$B$17)*E21/$B$16</f>
        <v>0.056020808740769215</v>
      </c>
      <c r="F23" s="8">
        <f>$B$17+($B$13-$B$17)*F21/$B$16</f>
        <v>0.05085067395064101</v>
      </c>
      <c r="G23" s="8">
        <f>$B$17+($B$13-$B$17)*G21/$B$16</f>
        <v>0.04568053916051281</v>
      </c>
      <c r="H23" s="8">
        <f>$B$17+($B$13-$B$17)*H21/$B$16</f>
        <v>0.04051040437038461</v>
      </c>
      <c r="I23" s="8">
        <f>$B$17+($B$13-$B$17)*I21/$B$16</f>
        <v>0.035340269580256406</v>
      </c>
      <c r="J23" s="8">
        <f>$B$17+($B$13-$B$17)*J21/$B$16</f>
        <v>0.0301701347901282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39477000000</v>
      </c>
      <c r="C24" s="9">
        <f>B24*(1+B23)</f>
        <v>42300837699.98901</v>
      </c>
      <c r="D24" s="9">
        <f>C24*(1+C23)</f>
        <v>45107966903.642975</v>
      </c>
      <c r="E24" s="9">
        <f>D24*(1+D23)</f>
        <v>47868165959.23737</v>
      </c>
      <c r="F24" s="9">
        <f>E24*(1+E23)</f>
        <v>50549779329.21121</v>
      </c>
      <c r="G24" s="9">
        <f>F24*(1+F23)</f>
        <v>53120269676.157776</v>
      </c>
      <c r="H24" s="9">
        <f>G24*(1+G23)</f>
        <v>55546832235.31649</v>
      </c>
      <c r="I24" s="9">
        <f>H24*(1+H23)</f>
        <v>57797056870.66307</v>
      </c>
      <c r="J24" s="9">
        <f>I24*(1+I23)</f>
        <v>59839620441.41771</v>
      </c>
      <c r="K24" s="9">
        <f>J24*(1+J23)</f>
        <v>61644989855.92538</v>
      </c>
    </row>
    <row r="25" spans="1:11" x14ac:dyDescent="0.25">
      <c r="A25" t="s">
        <v>33</v>
      </c>
      <c r="B25" s="9">
        <f>(B22-$B$9)*B24</f>
        <v>1090455000.502121</v>
      </c>
      <c r="C25" s="9">
        <f>(C22-$B$9)*C24</f>
        <v>1168456569.5311613</v>
      </c>
      <c r="D25" s="9">
        <f>(D22-$B$9)*D24</f>
        <v>1245996607.4565356</v>
      </c>
      <c r="E25" s="9">
        <f>(E22-$B$9)*E24</f>
        <v>1322240315.503098</v>
      </c>
      <c r="F25" s="9">
        <f>(F22-$B$9)*F24</f>
        <v>1396313287.3272314</v>
      </c>
      <c r="G25" s="9">
        <f>(G22-$B$9)*G24</f>
        <v>1467316759.034056</v>
      </c>
      <c r="H25" s="9">
        <f>(H22-$B$9)*H24</f>
        <v>1534344579.7059877</v>
      </c>
      <c r="I25" s="9">
        <f>(I22-$B$9)*I24</f>
        <v>1596501499.073385</v>
      </c>
      <c r="J25" s="9">
        <f>(J22-$B$9)*J24</f>
        <v>1652922292.4359217</v>
      </c>
      <c r="K25" s="9">
        <f>(K22-$B$9)*K24</f>
        <v>1702791180.7963207</v>
      </c>
    </row>
    <row r="26" spans="1:11" x14ac:dyDescent="0.25">
      <c r="A26" t="s">
        <v>34</v>
      </c>
      <c r="B26" s="14">
        <f>1/(1+$B$9)^B21</f>
        <v>0.91624591844741</v>
      </c>
      <c r="C26" s="14">
        <f>1/(1+$B$9)^C21</f>
        <v>0.8395065830715379</v>
      </c>
      <c r="D26" s="14">
        <f>1/(1+$B$9)^D21</f>
        <v>0.7691944802490281</v>
      </c>
      <c r="E26" s="14">
        <f>1/(1+$B$9)^E21</f>
        <v>0.7047713030204489</v>
      </c>
      <c r="F26" s="14">
        <f>1/(1+$B$9)^F21</f>
        <v>0.645743829831349</v>
      </c>
      <c r="G26" s="14">
        <f>1/(1+$B$9)^G21</f>
        <v>0.5916601484455725</v>
      </c>
      <c r="H26" s="14">
        <f>1/(1+$B$9)^H21</f>
        <v>0.5421061961212444</v>
      </c>
      <c r="I26" s="14">
        <f>1/(1+$B$9)^I21</f>
        <v>0.4967025895611414</v>
      </c>
      <c r="J26" s="14">
        <f>1/(1+$B$9)^J21</f>
        <v>0.45510172036765495</v>
      </c>
      <c r="K26" s="14">
        <f>1/(1+$B$9)^K21</f>
        <v>0.4169850937652584</v>
      </c>
    </row>
    <row r="27" spans="1:11" x14ac:dyDescent="0.25">
      <c r="A27" s="15" t="s">
        <v>35</v>
      </c>
      <c r="B27" s="16">
        <f>B25*B26</f>
        <v>999124943.4606367</v>
      </c>
      <c r="C27" s="16">
        <f>C25*C26</f>
        <v>980926982.1545961</v>
      </c>
      <c r="D27" s="16">
        <f>D25*D26</f>
        <v>958413712.8645822</v>
      </c>
      <c r="E27" s="16">
        <f>E25*E26</f>
        <v>931877030.0632879</v>
      </c>
      <c r="F27" s="16">
        <f>F25*F26</f>
        <v>901660689.8030874</v>
      </c>
      <c r="G27" s="16">
        <f>G25*G26</f>
        <v>868152851.4667659</v>
      </c>
      <c r="H27" s="16">
        <f>H25*H26</f>
        <v>831777703.6436626</v>
      </c>
      <c r="I27" s="16">
        <f>I25*I26</f>
        <v>792986428.8279945</v>
      </c>
      <c r="J27" s="16">
        <f>J25*J26</f>
        <v>752247778.921636</v>
      </c>
      <c r="K27" s="16">
        <f>K25*K26</f>
        <v>710038540.1870087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39477000000</v>
      </c>
    </row>
    <row r="31" spans="1:2" x14ac:dyDescent="0.25">
      <c r="A31" t="s">
        <v>38</v>
      </c>
      <c r="B31" s="9">
        <f>SUM(B27:K27)</f>
        <v>8727206661.393257</v>
      </c>
    </row>
    <row r="32" spans="1:2" x14ac:dyDescent="0.25">
      <c r="A32" t="s">
        <v>39</v>
      </c>
      <c r="B32" s="9">
        <f>K24*(1+K23)</f>
        <v>63186114602.32351</v>
      </c>
    </row>
    <row r="33" spans="1:2" x14ac:dyDescent="0.25">
      <c r="A33" t="s">
        <v>40</v>
      </c>
      <c r="B33" s="9">
        <f>(B18-B9)*B32</f>
        <v>1745360960.3162286</v>
      </c>
    </row>
    <row r="34" spans="1:2" x14ac:dyDescent="0.25">
      <c r="A34" t="s">
        <v>41</v>
      </c>
      <c r="B34" s="9">
        <f>B33/(B9-B13)</f>
        <v>26281580354.81904</v>
      </c>
    </row>
    <row r="35" spans="1:2" x14ac:dyDescent="0.25">
      <c r="A35" t="s">
        <v>42</v>
      </c>
      <c r="B35" s="9">
        <f>B34*K26</f>
        <v>10959027248.553389</v>
      </c>
    </row>
    <row r="36" spans="1:2" x14ac:dyDescent="0.25">
      <c r="A36" s="15" t="s">
        <v>43</v>
      </c>
      <c r="B36" s="16">
        <f>B30+B31+B35</f>
        <v>59163233909.94665</v>
      </c>
    </row>
    <row r="37" spans="1:2" x14ac:dyDescent="0.25">
      <c r="A37" s="15" t="s">
        <v>44</v>
      </c>
      <c r="B37" s="17">
        <f>B36/B15</f>
        <v>82.5474369416516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147.78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82.5474369416516</v>
      </c>
    </row>
    <row r="43" spans="1:2" x14ac:dyDescent="0.25">
      <c r="A43" s="15" t="s">
        <v>48</v>
      </c>
      <c r="B43" s="21">
        <f>B42/B40-1</f>
        <v>-0.4414167211960238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5306000000</v>
      </c>
      <c r="C5" s="9">
        <v>4336000000</v>
      </c>
      <c r="D5" s="9">
        <v>3067000000</v>
      </c>
      <c r="E5" s="9">
        <v>2345000000</v>
      </c>
      <c r="F5" s="6" t="s">
        <v>57</v>
      </c>
    </row>
    <row r="6" spans="1:6" x14ac:dyDescent="0.25">
      <c r="A6" t="s">
        <v>37</v>
      </c>
      <c r="B6" s="9">
        <v>39477000000</v>
      </c>
      <c r="C6" s="9">
        <v>36975000000</v>
      </c>
      <c r="D6" s="9">
        <v>36427000000</v>
      </c>
      <c r="E6" s="9">
        <v>35896000000</v>
      </c>
      <c r="F6" s="6" t="s">
        <v>58</v>
      </c>
    </row>
    <row r="7" spans="1:6" x14ac:dyDescent="0.25">
      <c r="A7" t="s">
        <v>59</v>
      </c>
      <c r="B7" s="9">
        <v>1685000000</v>
      </c>
      <c r="C7" s="9">
        <v>1542000000</v>
      </c>
      <c r="D7" s="9">
        <v>1487000000</v>
      </c>
      <c r="E7" s="9">
        <v>1376000000</v>
      </c>
      <c r="F7" s="6" t="s">
        <v>60</v>
      </c>
    </row>
    <row r="8" spans="1:6" x14ac:dyDescent="0.25">
      <c r="A8" t="s">
        <v>14</v>
      </c>
      <c r="B8" s="10">
        <v>716718000</v>
      </c>
      <c r="C8" s="10">
        <v>748101000</v>
      </c>
      <c r="D8" s="10">
        <v>787798000</v>
      </c>
      <c r="E8" s="10">
        <v>814795000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0.1435023664638269</v>
      </c>
      <c r="C9" s="8">
        <f>IF(AND(ISNUMBER(C5),N(D6)&gt;0),C5/D6,"")</f>
        <v>0.11903258571938398</v>
      </c>
      <c r="D9" s="8">
        <f>IF(AND(ISNUMBER(D5),N(E6)&gt;0),D5/E6,"")</f>
        <v>0.0854412747938489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0.31756502073124765</v>
      </c>
      <c r="C10" s="8">
        <f>IF(AND(ISNUMBER(C9),N(C5)&gt;0,ISNUMBER(C7)),C7/C5,"")</f>
        <v>0.3556273062730627</v>
      </c>
      <c r="D10" s="8">
        <f>IF(AND(ISNUMBER(D9),N(D5)&gt;0,ISNUMBER(D7)),D7/D5,"")</f>
        <v>0.48483860449951094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