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<sst xmlns="http://schemas.openxmlformats.org/spreadsheetml/2006/main" count="113" uniqueCount="101">
  <si>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Bunzl plc (BNZL.L)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</si>
  <si>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</si>
  <si>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</si>
  <si>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</si>
  <si>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</si>
  <si>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</si>
  <si>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</si>
  <si>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</si>
  <si>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</si>
  <si>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</si>
  <si>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</si>
  <si>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</si>
  <si>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</si>
  <si>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</si>
  <si>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</si>
  <si>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</si>
  <si>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</si>
  <si>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</si>
  <si>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</si>
  <si>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</si>
  <si>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</si>
  <si>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</si>
  <si>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</si>
  <si>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</si>
  <si>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</si>
  <si>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</si>
  <si>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</si>
  <si>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</si>
  <si>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</si>
  <si>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</si>
  <si>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</si>
  <si>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</si>
  <si>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</si>
  <si>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</si>
  <si>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</si>
  <si>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</si>
  <si>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</si>
  <si>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</si>
  <si>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</si>
  <si>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</si>
  <si>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</si>
  <si>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</si>
  <si>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</si>
  <si>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</si>
  <si>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</si>
  <si>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</si>
  <si>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</si>
  <si>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</si>
  <si>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</si>
  <si>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</si>
  <si>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</si>
  <si>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</si>
  <si>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</si>
  <si>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</si>
  <si>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</si>
  <si>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</si>
  <si>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</si>
  <si>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</si>
  <si>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</si>
  <si>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</si>
  <si>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</si>
  <si>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</si>
  <si>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</si>
  <si>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</si>
  <si>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</si>
  <si>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</si>
  <si>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</si>
  <si>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</si>
  <si>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</si>
  <si>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</si>
  <si>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</si>
  <si>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</si>
  <si>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</si>
  <si>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</si>
  <si>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</si>
  <si>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</si>
  <si>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</si>
  <si>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</si>
  <si>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</si>
  <si>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</si>
  <si>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</si>
  <si>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</si>
  <si>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</si>
  <si>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</si>
  <si>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</si>
  <si>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</si>
  <si>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</si>
  <si>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</si>
  <si>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</si>
  <si>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</si>
  <si>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</si>
  <si>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</si>
  <si>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</si>
  <si>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</si>
  <si>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</si>
  <si>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</si>
  <si>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</si>
  <si>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</si>
  <si>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0.49% of revenue, which is too low to be the company's real investment - property trusts and similar structures invest through lines that are not reported as capex. Capex has been set to 1.87% of revenue so the forecast is not handed free growth. Override it if the reported figure is right.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</si>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</sst>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-0.005403118434470611</v>
      </c>
    </row>
    <row r="7" spans="1:2" x14ac:dyDescent="0.25">
      <c r="A7" t="s">
        <v>5</v>
      </c>
      <c r="B7" s="6">
        <v>0.06625987445297589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0.030560995158024115</v>
      </c>
    </row>
    <row r="10" spans="1:2" x14ac:dyDescent="0.25">
      <c r="A10" t="s">
        <v>8</v>
      </c>
      <c r="B10" s="6">
        <v>0.018675494523768488</v>
      </c>
    </row>
    <row r="11" spans="1:2" x14ac:dyDescent="0.25">
      <c r="A11" t="s">
        <v>9</v>
      </c>
      <c r="B11" s="6">
        <v>-0.11716171617161716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9.208065678417885</v>
      </c>
    </row>
    <row r="14" spans="1:3" x14ac:dyDescent="0.25">
      <c r="A14" t="s">
        <v>12</v>
      </c>
      <c r="B14" s="6">
        <v>0.10995217189674748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0.54641</v>
      </c>
      <c r="C19" s="8" t="s">
        <v>19</v>
      </c>
    </row>
    <row r="20" spans="1:2" x14ac:dyDescent="0.25">
      <c r="A20" t="s">
        <v>20</v>
      </c>
      <c r="B20" s="10">
        <f>B17+B19*B18</f>
        <v>0.07505255</v>
      </c>
    </row>
    <row r="21" spans="1:3" x14ac:dyDescent="0.25">
      <c r="A21" t="s">
        <v>21</v>
      </c>
      <c r="B21" s="6">
        <v>0.053518275085747094</v>
      </c>
      <c r="C21" s="8" t="s">
        <v>22</v>
      </c>
    </row>
    <row r="22" spans="1:2" x14ac:dyDescent="0.25">
      <c r="A22" t="s">
        <v>23</v>
      </c>
      <c r="B22" s="11">
        <v>8353680384</v>
      </c>
    </row>
    <row r="23" spans="1:2" x14ac:dyDescent="0.25">
      <c r="A23" t="s">
        <v>24</v>
      </c>
      <c r="B23" s="11">
        <v>2895400000</v>
      </c>
    </row>
    <row r="24" spans="1:2" x14ac:dyDescent="0.25">
      <c r="A24" t="s">
        <v>25</v>
      </c>
      <c r="B24" s="10">
        <f>B22/(B22+B23)</f>
        <v>0.7426100711202812</v>
      </c>
    </row>
    <row r="25" spans="1:2" x14ac:dyDescent="0.25">
      <c r="A25" t="s">
        <v>26</v>
      </c>
      <c r="B25" s="10">
        <f>1-B24</f>
        <v>0.2573899288797188</v>
      </c>
    </row>
    <row r="26" spans="1:2" x14ac:dyDescent="0.25">
      <c r="A26" t="s">
        <v>27</v>
      </c>
      <c r="B26" s="12">
        <f>B24*B20+B25*B21*(1-B8)</f>
        <v>0.06606607825682272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11845400000</v>
      </c>
      <c r="C29" s="8" t="s">
        <v>30</v>
      </c>
    </row>
    <row r="30" spans="1:2" x14ac:dyDescent="0.25">
      <c r="A30" t="s">
        <v>31</v>
      </c>
      <c r="B30" s="11">
        <v>2355300000</v>
      </c>
    </row>
    <row r="31" spans="1:2" x14ac:dyDescent="0.25">
      <c r="A31" t="s">
        <v>32</v>
      </c>
      <c r="B31" s="13">
        <v>326000000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-0.005403118434470611</v>
      </c>
      <c r="C5" s="10">
        <f>Assumptions!B6</f>
        <v>-0.005403118434470611</v>
      </c>
      <c r="D5" s="10">
        <f>Assumptions!B6</f>
        <v>-0.005403118434470611</v>
      </c>
      <c r="E5" s="10">
        <f>Assumptions!B6</f>
        <v>-0.005403118434470611</v>
      </c>
      <c r="F5" s="10">
        <f>Assumptions!B6</f>
        <v>-0.005403118434470611</v>
      </c>
    </row>
    <row r="6" spans="1:6" x14ac:dyDescent="0.25">
      <c r="A6" t="s">
        <v>43</v>
      </c>
      <c r="B6" s="18">
        <f>Assumptions!B29*(1+B5)</f>
        <v>11781397900.896322</v>
      </c>
      <c r="C6" s="18">
        <f>B6*(1+C5)</f>
        <v>11717741612.714155</v>
      </c>
      <c r="D6" s="18">
        <f>C6*(1+D5)</f>
        <v>11654429266.996136</v>
      </c>
      <c r="E6" s="18">
        <f>D6*(1+E5)</f>
        <v>11591459005.380396</v>
      </c>
      <c r="F6" s="18">
        <f>E6*(1+F5)</f>
        <v>11528828979.546015</v>
      </c>
    </row>
    <row r="7" spans="1:6" x14ac:dyDescent="0.25">
      <c r="A7" t="s">
        <v>5</v>
      </c>
      <c r="B7" s="10">
        <f>Assumptions!B7</f>
        <v>0.06625987445297589</v>
      </c>
      <c r="C7" s="10">
        <f>Assumptions!B7</f>
        <v>0.06625987445297589</v>
      </c>
      <c r="D7" s="10">
        <f>Assumptions!B7</f>
        <v>0.06625987445297589</v>
      </c>
      <c r="E7" s="10">
        <f>Assumptions!B7</f>
        <v>0.06625987445297589</v>
      </c>
      <c r="F7" s="10">
        <f>Assumptions!B7</f>
        <v>0.06625987445297589</v>
      </c>
    </row>
    <row r="8" spans="1:6" x14ac:dyDescent="0.25">
      <c r="A8" t="s">
        <v>44</v>
      </c>
      <c r="B8" s="18">
        <f>B6*B7</f>
        <v>780633945.793944</v>
      </c>
      <c r="C8" s="18">
        <f>C6*C7</f>
        <v>776416088.1308511</v>
      </c>
      <c r="D8" s="18">
        <f>D6*D7</f>
        <v>772221020.0522518</v>
      </c>
      <c r="E8" s="18">
        <f>E6*E7</f>
        <v>768048618.4233218</v>
      </c>
      <c r="F8" s="18">
        <f>F6*F7</f>
        <v>763898760.7745491</v>
      </c>
    </row>
    <row r="9" spans="1:6" x14ac:dyDescent="0.25">
      <c r="A9" t="s">
        <v>45</v>
      </c>
      <c r="B9" s="18">
        <f>B8*(1-Assumptions!B8)</f>
        <v>585475459.345458</v>
      </c>
      <c r="C9" s="18">
        <f>C8*(1-Assumptions!B8)</f>
        <v>582312066.0981383</v>
      </c>
      <c r="D9" s="18">
        <f>D8*(1-Assumptions!B8)</f>
        <v>579165765.0391889</v>
      </c>
      <c r="E9" s="18">
        <f>E8*(1-Assumptions!B8)</f>
        <v>576036463.8174914</v>
      </c>
      <c r="F9" s="18">
        <f>F8*(1-Assumptions!B8)</f>
        <v>572924070.5809119</v>
      </c>
    </row>
    <row r="10" spans="1:6" x14ac:dyDescent="0.25">
      <c r="A10" t="s">
        <v>46</v>
      </c>
      <c r="B10" s="18">
        <f>B6*Assumptions!B9</f>
        <v>360051244.204048</v>
      </c>
      <c r="C10" s="18">
        <f>C6*Assumptions!B9</f>
        <v>358105844.68913496</v>
      </c>
      <c r="D10" s="18">
        <f>D6*Assumptions!B9</f>
        <v>356170956.39820343</v>
      </c>
      <c r="E10" s="18">
        <f>E6*Assumptions!B9</f>
        <v>354246522.5378653</v>
      </c>
      <c r="F10" s="18">
        <f>F6*Assumptions!B9</f>
        <v>352332486.62159383</v>
      </c>
    </row>
    <row r="11" spans="1:6" x14ac:dyDescent="0.25">
      <c r="A11" t="s">
        <v>47</v>
      </c>
      <c r="B11" s="18">
        <f>-B6*Assumptions!B10</f>
        <v>-220023431.98052683</v>
      </c>
      <c r="C11" s="18">
        <f>-C6*Assumptions!B10</f>
        <v>-218834619.31917733</v>
      </c>
      <c r="D11" s="18">
        <f>-D6*Assumptions!B10</f>
        <v>-217652229.9534335</v>
      </c>
      <c r="E11" s="18">
        <f>-E6*Assumptions!B10</f>
        <v>-216476229.1774685</v>
      </c>
      <c r="F11" s="18">
        <f>-F6*Assumptions!B10</f>
        <v>-215306582.47297505</v>
      </c>
    </row>
    <row r="12" spans="1:6" x14ac:dyDescent="0.25">
      <c r="A12" t="s">
        <v>48</v>
      </c>
      <c r="B12" s="18">
        <f>-(B6-Assumptions!B29)*Assumptions!B11</f>
        <v>-7498595.769572806</v>
      </c>
      <c r="C12" s="18">
        <f>-(C6-B6)*Assumptions!B11</f>
        <v>-7458079.968537725</v>
      </c>
      <c r="D12" s="18">
        <f>-(D6-C6)*Assumptions!B11</f>
        <v>-7417783.0791739</v>
      </c>
      <c r="E12" s="18">
        <f>-(E6-D6)*Assumptions!B11</f>
        <v>-7377703.918675788</v>
      </c>
      <c r="F12" s="18">
        <f>-(F6-E6)*Assumptions!B11</f>
        <v>-7337841.310628809</v>
      </c>
    </row>
    <row r="13" spans="1:6" x14ac:dyDescent="0.25">
      <c r="A13" s="19" t="s">
        <v>49</v>
      </c>
      <c r="B13" s="20">
        <f>B9+B10+B11+B12</f>
        <v>718004675.7994063</v>
      </c>
      <c r="C13" s="20">
        <f>C9+C10+C11+C12</f>
        <v>714125211.4995583</v>
      </c>
      <c r="D13" s="20">
        <f>D9+D10+D11+D12</f>
        <v>710266708.4047848</v>
      </c>
      <c r="E13" s="20">
        <f>E9+E10+E11+E12</f>
        <v>706429053.2592124</v>
      </c>
      <c r="F13" s="20">
        <f>F9+F10+F11+F12</f>
        <v>702612133.4189019</v>
      </c>
    </row>
    <row r="14" spans="1:6" x14ac:dyDescent="0.25">
      <c r="A14" t="s">
        <v>50</v>
      </c>
      <c r="B14" s="21">
        <f>1/(1+Assumptions!$B$26)^(1-0.5*Assumptions!$B$32)</f>
        <v>0.9685185379162735</v>
      </c>
      <c r="C14" s="21">
        <f>1/(1+Assumptions!$B$26)^(2-0.5*Assumptions!$B$32)</f>
        <v>0.9084976603888812</v>
      </c>
      <c r="D14" s="21">
        <f>1/(1+Assumptions!$B$26)^(3-0.5*Assumptions!$B$32)</f>
        <v>0.8521963871830636</v>
      </c>
      <c r="E14" s="21">
        <f>1/(1+Assumptions!$B$26)^(4-0.5*Assumptions!$B$32)</f>
        <v>0.7993842075685701</v>
      </c>
      <c r="F14" s="21">
        <f>1/(1+Assumptions!$B$26)^(5-0.5*Assumptions!$B$32)</f>
        <v>0.7498448959896394</v>
      </c>
    </row>
    <row r="15" spans="1:6" x14ac:dyDescent="0.25">
      <c r="A15" s="19" t="s">
        <v>51</v>
      </c>
      <c r="B15" s="20">
        <f>B13*B14</f>
        <v>695400838.822289</v>
      </c>
      <c r="C15" s="20">
        <f>C13*C14</f>
        <v>648781083.8720638</v>
      </c>
      <c r="D15" s="20">
        <f>D13*D14</f>
        <v>605286722.8389641</v>
      </c>
      <c r="E15" s="20">
        <f>E13*E14</f>
        <v>564708228.9430307</v>
      </c>
      <c r="F15" s="20">
        <f>F13*F14</f>
        <v>526850122.1045552</v>
      </c>
    </row>
    <row r="17" spans="1:2" x14ac:dyDescent="0.25">
      <c r="A17" s="22" t="s">
        <v>52</v>
      </c>
      <c r="B17" s="23">
        <f>SUM(B15:F15)</f>
        <v>3041026996.5809026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702612133.4189019</v>
      </c>
    </row>
    <row r="5" spans="1:2" x14ac:dyDescent="0.25">
      <c r="A5" t="s">
        <v>56</v>
      </c>
      <c r="B5" s="18">
        <f>IF(Assumptions!$B$33=0,B4,B4-Forecast!F11-Forecast!F10-Forecast!F12)</f>
        <v>675693498.6923759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0.227371588652898</v>
      </c>
    </row>
    <row r="7" spans="1:2" x14ac:dyDescent="0.25">
      <c r="A7" t="s">
        <v>58</v>
      </c>
      <c r="B7" s="18">
        <f>-MAX(Forecast!F9,0)*B6</f>
        <v>-153633504.24012035</v>
      </c>
    </row>
    <row r="8" spans="1:2" x14ac:dyDescent="0.25">
      <c r="A8" t="s">
        <v>59</v>
      </c>
      <c r="B8" s="18">
        <f>IF(OR(Assumptions!$B$33=0,Assumptions!B12&lt;=0),B5,MAX(B5+B7,0))</f>
        <v>522059994.45225555</v>
      </c>
    </row>
    <row r="9" spans="1:2" x14ac:dyDescent="0.25">
      <c r="A9" t="s">
        <v>60</v>
      </c>
      <c r="B9" s="18">
        <f>B8*(1+Assumptions!B12)/(Assumptions!B26-Assumptions!B12)</f>
        <v>13030499064.630272</v>
      </c>
    </row>
    <row r="10" spans="1:2" x14ac:dyDescent="0.25">
      <c r="A10" t="s">
        <v>61</v>
      </c>
      <c r="B10" s="18">
        <f>B9/(1+Assumptions!B26)^(5-0.5*Assumptions!B32)</f>
        <v>9770853215.81078</v>
      </c>
    </row>
    <row r="11" spans="1:2" x14ac:dyDescent="0.25">
      <c r="A11" t="s">
        <v>62</v>
      </c>
      <c r="B11" s="18">
        <f>Forecast!B17+B10</f>
        <v>12811880212.391682</v>
      </c>
    </row>
    <row r="12" spans="1:2" x14ac:dyDescent="0.25">
      <c r="A12" t="s">
        <v>63</v>
      </c>
      <c r="B12" s="18">
        <f>-Assumptions!B30</f>
        <v>-2355300000</v>
      </c>
    </row>
    <row r="13" spans="1:2" x14ac:dyDescent="0.25">
      <c r="A13" t="s">
        <v>64</v>
      </c>
      <c r="B13" s="18">
        <f>B11+B12</f>
        <v>10456580212.391682</v>
      </c>
    </row>
    <row r="14" spans="1:2" x14ac:dyDescent="0.25">
      <c r="A14" s="19" t="s">
        <v>65</v>
      </c>
      <c r="B14" s="24">
        <f>B13/Assumptions!B31</f>
        <v>32.07539942451436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1116231247.396143</v>
      </c>
    </row>
    <row r="18" spans="1:2" x14ac:dyDescent="0.25">
      <c r="A18" t="s">
        <v>60</v>
      </c>
      <c r="B18" s="18">
        <f>B17*Assumptions!B13</f>
        <v>10278330638.326008</v>
      </c>
    </row>
    <row r="19" spans="1:2" x14ac:dyDescent="0.25">
      <c r="A19" t="s">
        <v>61</v>
      </c>
      <c r="B19" s="18">
        <f>B18/(1+Assumptions!B26)^(5-0.5*Assumptions!B32)</f>
        <v>7707153768.44269</v>
      </c>
    </row>
    <row r="20" spans="1:2" x14ac:dyDescent="0.25">
      <c r="A20" t="s">
        <v>62</v>
      </c>
      <c r="B20" s="18">
        <f>Forecast!B17+B19</f>
        <v>10748180765.023592</v>
      </c>
    </row>
    <row r="21" spans="1:2" x14ac:dyDescent="0.25">
      <c r="A21" t="s">
        <v>63</v>
      </c>
      <c r="B21" s="18">
        <f>-Assumptions!B30</f>
        <v>-2355300000</v>
      </c>
    </row>
    <row r="22" spans="1:2" x14ac:dyDescent="0.25">
      <c r="A22" t="s">
        <v>64</v>
      </c>
      <c r="B22" s="18">
        <f>B20+B21</f>
        <v>8392880765.023592</v>
      </c>
    </row>
    <row r="23" spans="1:2" x14ac:dyDescent="0.25">
      <c r="A23" s="19" t="s">
        <v>65</v>
      </c>
      <c r="B23" s="25">
        <f>B22/Assumptions!B31</f>
        <v>25.74503302154476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2614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3207.5399424514358</v>
      </c>
    </row>
    <row r="29" spans="1:2" x14ac:dyDescent="0.25">
      <c r="A29" s="19" t="s">
        <v>73</v>
      </c>
      <c r="B29" s="12">
        <f>B28/B26-1</f>
        <v>0.22706195197071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0.046066</v>
      </c>
      <c r="B5" s="31">
        <v>50.286321444039864</v>
      </c>
      <c r="C5" s="31">
        <v>56.71496534265723</v>
      </c>
      <c r="D5" s="31">
        <v>66.15874301990972</v>
      </c>
      <c r="E5" s="31">
        <v>81.43273020588117</v>
      </c>
      <c r="F5" s="31">
        <v>110.43979538338239</v>
      </c>
    </row>
    <row r="6" spans="1:6" x14ac:dyDescent="0.25">
      <c r="A6" s="30">
        <v>0.056066</v>
      </c>
      <c r="B6" s="31">
        <v>36.92467855425215</v>
      </c>
      <c r="C6" s="31">
        <v>39.83161175679902</v>
      </c>
      <c r="D6" s="31">
        <v>43.650537387452225</v>
      </c>
      <c r="E6" s="31">
        <v>48.90627269556322</v>
      </c>
      <c r="F6" s="31">
        <v>56.62189492227251</v>
      </c>
    </row>
    <row r="7" spans="1:6" x14ac:dyDescent="0.25">
      <c r="A7" s="30">
        <v>0.066066</v>
      </c>
      <c r="B7" s="31">
        <v>28.780583145357255</v>
      </c>
      <c r="C7" s="31">
        <v>30.256883458898944</v>
      </c>
      <c r="D7" s="32">
        <v>32.07546805789145</v>
      </c>
      <c r="E7" s="31">
        <v>34.37869440592272</v>
      </c>
      <c r="F7" s="31">
        <v>37.40056836907084</v>
      </c>
    </row>
    <row r="8" spans="1:6" x14ac:dyDescent="0.25">
      <c r="A8" s="30">
        <v>0.076066</v>
      </c>
      <c r="B8" s="31">
        <v>23.291511858347366</v>
      </c>
      <c r="C8" s="31">
        <v>24.081027674704217</v>
      </c>
      <c r="D8" s="31">
        <v>25.011879808634728</v>
      </c>
      <c r="E8" s="31">
        <v>26.130090158363306</v>
      </c>
      <c r="F8" s="31">
        <v>27.50409424809418</v>
      </c>
    </row>
    <row r="9" spans="1:6" x14ac:dyDescent="0.25">
      <c r="A9" s="30">
        <v>0.086066</v>
      </c>
      <c r="B9" s="31">
        <v>19.33723552263536</v>
      </c>
      <c r="C9" s="31">
        <v>19.76141707899949</v>
      </c>
      <c r="D9" s="31">
        <v>20.24441643375591</v>
      </c>
      <c r="E9" s="31">
        <v>20.80196980807047</v>
      </c>
      <c r="F9" s="31">
        <v>21.4559765144676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11845400000</v>
      </c>
      <c r="C5" s="18">
        <v>11776400000</v>
      </c>
      <c r="D5" s="18">
        <v>11797100000</v>
      </c>
      <c r="E5" s="18">
        <v>12039500000</v>
      </c>
      <c r="F5" s="8" t="s">
        <v>84</v>
      </c>
    </row>
    <row r="6" spans="1:6" x14ac:dyDescent="0.25">
      <c r="A6" t="s">
        <v>44</v>
      </c>
      <c r="B6" s="18">
        <v>758300000</v>
      </c>
      <c r="C6" s="18">
        <v>820800000</v>
      </c>
      <c r="D6" s="18">
        <v>806900000</v>
      </c>
      <c r="E6" s="18">
        <v>757600000</v>
      </c>
      <c r="F6" s="8" t="s">
        <v>85</v>
      </c>
    </row>
    <row r="7" spans="1:6" x14ac:dyDescent="0.25">
      <c r="A7" t="s">
        <v>86</v>
      </c>
      <c r="B7" s="18">
        <v>404700000</v>
      </c>
      <c r="C7" s="18">
        <v>384100000</v>
      </c>
      <c r="D7" s="18">
        <v>342800000</v>
      </c>
      <c r="E7" s="18">
        <v>317900000</v>
      </c>
      <c r="F7" s="8" t="s">
        <v>87</v>
      </c>
    </row>
    <row r="8" spans="1:6" x14ac:dyDescent="0.25">
      <c r="A8" t="s">
        <v>88</v>
      </c>
      <c r="B8" s="18">
        <v>71500000</v>
      </c>
      <c r="C8" s="18">
        <v>54400000</v>
      </c>
      <c r="D8" s="18">
        <v>58300000</v>
      </c>
      <c r="E8" s="18">
        <v>46700000</v>
      </c>
      <c r="F8" s="8" t="s">
        <v>89</v>
      </c>
    </row>
    <row r="9" spans="1:6" x14ac:dyDescent="0.25">
      <c r="A9" t="s">
        <v>90</v>
      </c>
      <c r="B9" s="18">
        <v>30500000</v>
      </c>
      <c r="C9" s="18">
        <v>97100000</v>
      </c>
      <c r="D9" s="18">
        <v>28400000</v>
      </c>
      <c r="E9" s="18">
        <v>-54500000</v>
      </c>
      <c r="F9" s="8" t="s">
        <v>91</v>
      </c>
    </row>
    <row r="10" spans="1:6" x14ac:dyDescent="0.25">
      <c r="A10" t="s">
        <v>92</v>
      </c>
      <c r="B10" s="18">
        <v>2895400000</v>
      </c>
      <c r="C10" s="18">
        <v>3722900000</v>
      </c>
      <c r="D10" s="18">
        <v>3085800000</v>
      </c>
      <c r="E10" s="18">
        <v>3130800000</v>
      </c>
      <c r="F10" s="8" t="s">
        <v>93</v>
      </c>
    </row>
    <row r="11" spans="1:6" x14ac:dyDescent="0.25">
      <c r="A11" t="s">
        <v>94</v>
      </c>
      <c r="B11" s="18">
        <v>540100000</v>
      </c>
      <c r="C11" s="18">
        <v>1432900000</v>
      </c>
      <c r="D11" s="18">
        <v>1426100000</v>
      </c>
      <c r="E11" s="18">
        <v>1504000000</v>
      </c>
      <c r="F11" s="8" t="s">
        <v>95</v>
      </c>
    </row>
    <row r="12" spans="1:6" x14ac:dyDescent="0.25">
      <c r="A12" t="s">
        <v>32</v>
      </c>
      <c r="B12" s="34">
        <v>326000000</v>
      </c>
      <c r="C12" s="34">
        <v>336500000</v>
      </c>
      <c r="D12" s="34">
        <v>337200000</v>
      </c>
      <c r="E12" s="34">
        <v>337200000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2026-09-19T00:08:17Z</dcterms:modified>
</cp:coreProperties>
</file>