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<sst xmlns="http://schemas.openxmlformats.org/spreadsheetml/2006/main" count="113" uniqueCount="101">
  <si>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Boliden AB (publ) (BOL.ST)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</si>
  <si>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</si>
  <si>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</si>
  <si>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</si>
  <si>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</si>
  <si>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</si>
  <si>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</si>
  <si>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</si>
  <si>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</si>
  <si>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</si>
  <si>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</si>
  <si>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</si>
  <si>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</si>
  <si>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</si>
  <si>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</si>
  <si>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</si>
  <si>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</si>
  <si>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</si>
  <si>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</si>
  <si>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</si>
  <si>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</si>
  <si>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</si>
  <si>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</si>
  <si>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</si>
  <si>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</si>
  <si>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</si>
  <si>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</si>
  <si>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</si>
  <si>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</si>
  <si>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</si>
  <si>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</si>
  <si>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</si>
  <si>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</si>
  <si>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</si>
  <si>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</si>
  <si>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</si>
  <si>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</si>
  <si>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</si>
  <si>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</si>
  <si>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</si>
  <si>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</si>
  <si>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</si>
  <si>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</si>
  <si>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</si>
  <si>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</si>
  <si>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</si>
  <si>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</si>
  <si>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</si>
  <si>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</si>
  <si>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</si>
  <si>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</si>
  <si>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</si>
  <si>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</si>
  <si>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</si>
  <si>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</si>
  <si>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</si>
  <si>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</si>
  <si>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</si>
  <si>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</si>
  <si>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</si>
  <si>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</si>
  <si>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</si>
  <si>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</si>
  <si>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</si>
  <si>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</si>
  <si>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</si>
  <si>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</si>
  <si>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</si>
  <si>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</si>
  <si>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</si>
  <si>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</si>
  <si>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</si>
  <si>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</si>
  <si>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</si>
  <si>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</si>
  <si>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</si>
  <si>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</si>
  <si>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</si>
  <si>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</si>
  <si>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</si>
  <si>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</si>
  <si>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</si>
  <si>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</si>
  <si>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</si>
  <si>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</si>
  <si>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</si>
  <si>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</si>
  <si>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</si>
  <si>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</si>
  <si>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</si>
  <si>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</si>
  <si>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</si>
  <si>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</si>
  <si>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</si>
  <si>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</si>
  <si>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</si>
  <si>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</si>
  <si>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</si>
  <si>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16.2% of revenue against depreciation of 7.9%.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</si>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</sst>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0.026560562218729933</v>
      </c>
    </row>
    <row r="7" spans="1:2" x14ac:dyDescent="0.25">
      <c r="A7" t="s">
        <v>5</v>
      </c>
      <c r="B7" s="6">
        <v>0.13210514249011523</v>
      </c>
    </row>
    <row r="8" spans="1:2" x14ac:dyDescent="0.25">
      <c r="A8" t="s">
        <v>6</v>
      </c>
      <c r="B8" s="6">
        <v>0.2029859311931801</v>
      </c>
    </row>
    <row r="9" spans="1:2" x14ac:dyDescent="0.25">
      <c r="A9" t="s">
        <v>7</v>
      </c>
      <c r="B9" s="6">
        <v>0.0792199801714221</v>
      </c>
    </row>
    <row r="10" spans="1:2" x14ac:dyDescent="0.25">
      <c r="A10" t="s">
        <v>8</v>
      </c>
      <c r="B10" s="6">
        <v>0.16186148919530624</v>
      </c>
    </row>
    <row r="11" spans="1:2" x14ac:dyDescent="0.25">
      <c r="A11" t="s">
        <v>9</v>
      </c>
      <c r="B11" s="6">
        <v>-0.18041866140993149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7.653960115094601</v>
      </c>
    </row>
    <row r="14" spans="1:3" x14ac:dyDescent="0.25">
      <c r="A14" t="s">
        <v>12</v>
      </c>
      <c r="B14" s="6">
        <v>0.1049062025831777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1.0904500000000001</v>
      </c>
      <c r="C19" s="8" t="s">
        <v>19</v>
      </c>
    </row>
    <row r="20" spans="1:2" x14ac:dyDescent="0.25">
      <c r="A20" t="s">
        <v>20</v>
      </c>
      <c r="B20" s="10">
        <f>B17+B19*B18</f>
        <v>0.11287925000000001</v>
      </c>
    </row>
    <row r="21" spans="1:3" x14ac:dyDescent="0.25">
      <c r="A21" t="s">
        <v>21</v>
      </c>
      <c r="B21" s="6">
        <v>0.06818520172696144</v>
      </c>
      <c r="C21" s="8" t="s">
        <v>22</v>
      </c>
    </row>
    <row r="22" spans="1:2" x14ac:dyDescent="0.25">
      <c r="A22" t="s">
        <v>23</v>
      </c>
      <c r="B22" s="11">
        <v>150897655808</v>
      </c>
    </row>
    <row r="23" spans="1:2" x14ac:dyDescent="0.25">
      <c r="A23" t="s">
        <v>24</v>
      </c>
      <c r="B23" s="11">
        <v>23795000000</v>
      </c>
    </row>
    <row r="24" spans="1:2" x14ac:dyDescent="0.25">
      <c r="A24" t="s">
        <v>25</v>
      </c>
      <c r="B24" s="10">
        <f>B22/(B22+B23)</f>
        <v>0.8637893511324687</v>
      </c>
    </row>
    <row r="25" spans="1:2" x14ac:dyDescent="0.25">
      <c r="A25" t="s">
        <v>26</v>
      </c>
      <c r="B25" s="10">
        <f>1-B24</f>
        <v>0.13621064886753131</v>
      </c>
    </row>
    <row r="26" spans="1:2" x14ac:dyDescent="0.25">
      <c r="A26" t="s">
        <v>27</v>
      </c>
      <c r="B26" s="12">
        <f>B24*B20+B25*B21*(1-B8)</f>
        <v>0.1049062025831777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93509000000</v>
      </c>
      <c r="C29" s="8" t="s">
        <v>30</v>
      </c>
    </row>
    <row r="30" spans="1:2" x14ac:dyDescent="0.25">
      <c r="A30" t="s">
        <v>31</v>
      </c>
      <c r="B30" s="11">
        <v>14558000000</v>
      </c>
    </row>
    <row r="31" spans="1:2" x14ac:dyDescent="0.25">
      <c r="A31" t="s">
        <v>32</v>
      </c>
      <c r="B31" s="13">
        <v>281633938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0.026560562218729933</v>
      </c>
      <c r="C5" s="10">
        <f>Assumptions!B6</f>
        <v>0.026560562218729933</v>
      </c>
      <c r="D5" s="10">
        <f>Assumptions!B6</f>
        <v>0.026560562218729933</v>
      </c>
      <c r="E5" s="10">
        <f>Assumptions!B6</f>
        <v>0.026560562218729933</v>
      </c>
      <c r="F5" s="10">
        <f>Assumptions!B6</f>
        <v>0.026560562218729933</v>
      </c>
    </row>
    <row r="6" spans="1:6" x14ac:dyDescent="0.25">
      <c r="A6" t="s">
        <v>43</v>
      </c>
      <c r="B6" s="18">
        <f>Assumptions!B29*(1+B5)</f>
        <v>95992651612.51122</v>
      </c>
      <c r="C6" s="18">
        <f>B6*(1+C5)</f>
        <v>98542270408.20619</v>
      </c>
      <c r="D6" s="18">
        <f>C6*(1+D5)</f>
        <v>101159608512.55826</v>
      </c>
      <c r="E6" s="18">
        <f>D6*(1+E5)</f>
        <v>103846464588.47842</v>
      </c>
      <c r="F6" s="18">
        <f>E6*(1+F5)</f>
        <v>106604685072.37584</v>
      </c>
    </row>
    <row r="7" spans="1:6" x14ac:dyDescent="0.25">
      <c r="A7" t="s">
        <v>5</v>
      </c>
      <c r="B7" s="10">
        <f>Assumptions!B7</f>
        <v>0.13210514249011523</v>
      </c>
      <c r="C7" s="10">
        <f>Assumptions!B7</f>
        <v>0.13210514249011523</v>
      </c>
      <c r="D7" s="10">
        <f>Assumptions!B7</f>
        <v>0.13210514249011523</v>
      </c>
      <c r="E7" s="10">
        <f>Assumptions!B7</f>
        <v>0.13210514249011523</v>
      </c>
      <c r="F7" s="10">
        <f>Assumptions!B7</f>
        <v>0.13210514249011523</v>
      </c>
    </row>
    <row r="8" spans="1:6" x14ac:dyDescent="0.25">
      <c r="A8" t="s">
        <v>44</v>
      </c>
      <c r="B8" s="18">
        <f>B6*B7</f>
        <v>12681122919.274784</v>
      </c>
      <c r="C8" s="18">
        <f>C6*C7</f>
        <v>13017940673.575544</v>
      </c>
      <c r="D8" s="18">
        <f>D6*D7</f>
        <v>13363704496.795782</v>
      </c>
      <c r="E8" s="18">
        <f>E6*E7</f>
        <v>13718652001.555649</v>
      </c>
      <c r="F8" s="18">
        <f>F6*F7</f>
        <v>14083027111.60007</v>
      </c>
    </row>
    <row r="9" spans="1:6" x14ac:dyDescent="0.25">
      <c r="A9" t="s">
        <v>45</v>
      </c>
      <c r="B9" s="18">
        <f>B8*(1-Assumptions!B8)</f>
        <v>10107033374.930614</v>
      </c>
      <c r="C9" s="18">
        <f>C8*(1-Assumptions!B8)</f>
        <v>10375481863.732239</v>
      </c>
      <c r="D9" s="18">
        <f>D8*(1-Assumptions!B8)</f>
        <v>10651060495.323202</v>
      </c>
      <c r="E9" s="18">
        <f>E8*(1-Assumptions!B8)</f>
        <v>10933958650.304691</v>
      </c>
      <c r="F9" s="18">
        <f>F8*(1-Assumptions!B8)</f>
        <v>11224370739.33313</v>
      </c>
    </row>
    <row r="10" spans="1:6" x14ac:dyDescent="0.25">
      <c r="A10" t="s">
        <v>46</v>
      </c>
      <c r="B10" s="18">
        <f>B6*Assumptions!B9</f>
        <v>7604535957.345367</v>
      </c>
      <c r="C10" s="18">
        <f>C6*Assumptions!B9</f>
        <v>7806516707.785008</v>
      </c>
      <c r="D10" s="18">
        <f>D6*Assumptions!B9</f>
        <v>8013862180.513687</v>
      </c>
      <c r="E10" s="18">
        <f>E6*Assumptions!B9</f>
        <v>8226714865.5715475</v>
      </c>
      <c r="F10" s="18">
        <f>F6*Assumptions!B9</f>
        <v>8445221037.614311</v>
      </c>
    </row>
    <row r="11" spans="1:6" x14ac:dyDescent="0.25">
      <c r="A11" t="s">
        <v>47</v>
      </c>
      <c r="B11" s="18">
        <f>-B6*Assumptions!B10</f>
        <v>-15537513541.80728</v>
      </c>
      <c r="C11" s="18">
        <f>-C6*Assumptions!B10</f>
        <v>-15950198636.958813</v>
      </c>
      <c r="D11" s="18">
        <f>-D6*Assumptions!B10</f>
        <v>-16373844880.256857</v>
      </c>
      <c r="E11" s="18">
        <f>-E6*Assumptions!B10</f>
        <v>-16808743405.958752</v>
      </c>
      <c r="F11" s="18">
        <f>-F6*Assumptions!B10</f>
        <v>-17255193081.011387</v>
      </c>
    </row>
    <row r="12" spans="1:6" x14ac:dyDescent="0.25">
      <c r="A12" t="s">
        <v>48</v>
      </c>
      <c r="B12" s="18">
        <f>-(B6-Assumptions!B29)*Assumptions!B11</f>
        <v>448097099.3378913</v>
      </c>
      <c r="C12" s="18">
        <f>-(C6-B6)*Assumptions!B11</f>
        <v>459998810.2248893</v>
      </c>
      <c r="D12" s="18">
        <f>-(D6-C6)*Assumptions!B11</f>
        <v>472216637.2444073</v>
      </c>
      <c r="E12" s="18">
        <f>-(E6-D6)*Assumptions!B11</f>
        <v>484758976.6186576</v>
      </c>
      <c r="F12" s="18">
        <f>-(F6-E6)*Assumptions!B11</f>
        <v>497634447.57822514</v>
      </c>
    </row>
    <row r="13" spans="1:6" x14ac:dyDescent="0.25">
      <c r="A13" s="19" t="s">
        <v>49</v>
      </c>
      <c r="B13" s="20">
        <f>B9+B10+B11+B12</f>
        <v>2622152889.8065934</v>
      </c>
      <c r="C13" s="20">
        <f>C9+C10+C11+C12</f>
        <v>2691798744.783323</v>
      </c>
      <c r="D13" s="20">
        <f>D9+D10+D11+D12</f>
        <v>2763294432.8244414</v>
      </c>
      <c r="E13" s="20">
        <f>E9+E10+E11+E12</f>
        <v>2836689086.5361457</v>
      </c>
      <c r="F13" s="20">
        <f>F9+F10+F11+F12</f>
        <v>2912033143.5142794</v>
      </c>
    </row>
    <row r="14" spans="1:6" x14ac:dyDescent="0.25">
      <c r="A14" t="s">
        <v>50</v>
      </c>
      <c r="B14" s="21">
        <f>1/(1+Assumptions!$B$26)^(1-0.5*Assumptions!$B$32)</f>
        <v>0.9513433663379434</v>
      </c>
      <c r="C14" s="21">
        <f>1/(1+Assumptions!$B$26)^(2-0.5*Assumptions!$B$32)</f>
        <v>0.8610173099886513</v>
      </c>
      <c r="D14" s="21">
        <f>1/(1+Assumptions!$B$26)^(3-0.5*Assumptions!$B$32)</f>
        <v>0.7792673332592985</v>
      </c>
      <c r="E14" s="21">
        <f>1/(1+Assumptions!$B$26)^(4-0.5*Assumptions!$B$32)</f>
        <v>0.7052791734152972</v>
      </c>
      <c r="F14" s="21">
        <f>1/(1+Assumptions!$B$26)^(5-0.5*Assumptions!$B$32)</f>
        <v>0.638315878548255</v>
      </c>
    </row>
    <row r="15" spans="1:6" x14ac:dyDescent="0.25">
      <c r="A15" s="19" t="s">
        <v>51</v>
      </c>
      <c r="B15" s="20">
        <f>B13*B14</f>
        <v>2494567757.2413707</v>
      </c>
      <c r="C15" s="20">
        <f>C13*C14</f>
        <v>2317685314.264165</v>
      </c>
      <c r="D15" s="20">
        <f>D13*D14</f>
        <v>2153345083.677368</v>
      </c>
      <c r="E15" s="20">
        <f>E13*E14</f>
        <v>2000657734.1884074</v>
      </c>
      <c r="F15" s="20">
        <f>F13*F14</f>
        <v>1858796994.363954</v>
      </c>
    </row>
    <row r="17" spans="1:2" x14ac:dyDescent="0.25">
      <c r="A17" s="22" t="s">
        <v>52</v>
      </c>
      <c r="B17" s="23">
        <f>SUM(B15:F15)</f>
        <v>10825052883.735266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2912033143.5142794</v>
      </c>
    </row>
    <row r="5" spans="1:2" x14ac:dyDescent="0.25">
      <c r="A5" t="s">
        <v>56</v>
      </c>
      <c r="B5" s="18">
        <f>IF(Assumptions!$B$33=0,B4,B4-Forecast!F11-Forecast!F10-Forecast!F12)</f>
        <v>11235920698.808702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0.2383081208203879</v>
      </c>
    </row>
    <row r="7" spans="1:2" x14ac:dyDescent="0.25">
      <c r="A7" t="s">
        <v>58</v>
      </c>
      <c r="B7" s="18">
        <f>-MAX(Forecast!F9,0)*B6</f>
        <v>-2677611147.4200015</v>
      </c>
    </row>
    <row r="8" spans="1:2" x14ac:dyDescent="0.25">
      <c r="A8" t="s">
        <v>59</v>
      </c>
      <c r="B8" s="18">
        <f>IF(OR(Assumptions!$B$33=0,Assumptions!B12&lt;=0),B5,MAX(B5+B7,0))</f>
        <v>8558309551.3887005</v>
      </c>
    </row>
    <row r="9" spans="1:2" x14ac:dyDescent="0.25">
      <c r="A9" t="s">
        <v>60</v>
      </c>
      <c r="B9" s="18">
        <f>B8*(1+Assumptions!B12)/(Assumptions!B26-Assumptions!B12)</f>
        <v>109782057044.22005</v>
      </c>
    </row>
    <row r="10" spans="1:2" x14ac:dyDescent="0.25">
      <c r="A10" t="s">
        <v>61</v>
      </c>
      <c r="B10" s="18">
        <f>B9/(1+Assumptions!B26)^(5-0.5*Assumptions!B32)</f>
        <v>70075630191.01596</v>
      </c>
    </row>
    <row r="11" spans="1:2" x14ac:dyDescent="0.25">
      <c r="A11" t="s">
        <v>62</v>
      </c>
      <c r="B11" s="18">
        <f>Forecast!B17+B10</f>
        <v>80900683074.75122</v>
      </c>
    </row>
    <row r="12" spans="1:2" x14ac:dyDescent="0.25">
      <c r="A12" t="s">
        <v>63</v>
      </c>
      <c r="B12" s="18">
        <f>-Assumptions!B30</f>
        <v>-14558000000</v>
      </c>
    </row>
    <row r="13" spans="1:2" x14ac:dyDescent="0.25">
      <c r="A13" t="s">
        <v>64</v>
      </c>
      <c r="B13" s="18">
        <f>B11+B12</f>
        <v>66342683074.75122</v>
      </c>
    </row>
    <row r="14" spans="1:2" x14ac:dyDescent="0.25">
      <c r="A14" s="19" t="s">
        <v>65</v>
      </c>
      <c r="B14" s="24">
        <f>B13/Assumptions!B31</f>
        <v>235.56352457334606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22528248149.214382</v>
      </c>
    </row>
    <row r="18" spans="1:2" x14ac:dyDescent="0.25">
      <c r="A18" t="s">
        <v>60</v>
      </c>
      <c r="B18" s="18">
        <f>B17*Assumptions!B13</f>
        <v>172430312797.04065</v>
      </c>
    </row>
    <row r="19" spans="1:2" x14ac:dyDescent="0.25">
      <c r="A19" t="s">
        <v>61</v>
      </c>
      <c r="B19" s="18">
        <f>B18/(1+Assumptions!B26)^(5-0.5*Assumptions!B32)</f>
        <v>110065006601.39342</v>
      </c>
    </row>
    <row r="20" spans="1:2" x14ac:dyDescent="0.25">
      <c r="A20" t="s">
        <v>62</v>
      </c>
      <c r="B20" s="18">
        <f>Forecast!B17+B19</f>
        <v>120890059485.12868</v>
      </c>
    </row>
    <row r="21" spans="1:2" x14ac:dyDescent="0.25">
      <c r="A21" t="s">
        <v>63</v>
      </c>
      <c r="B21" s="18">
        <f>-Assumptions!B30</f>
        <v>-14558000000</v>
      </c>
    </row>
    <row r="22" spans="1:2" x14ac:dyDescent="0.25">
      <c r="A22" t="s">
        <v>64</v>
      </c>
      <c r="B22" s="18">
        <f>B20+B21</f>
        <v>106332059485.12868</v>
      </c>
    </row>
    <row r="23" spans="1:2" x14ac:dyDescent="0.25">
      <c r="A23" s="19" t="s">
        <v>65</v>
      </c>
      <c r="B23" s="25">
        <f>B22/Assumptions!B31</f>
        <v>377.55414081213706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531.4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235.56352457334606</v>
      </c>
    </row>
    <row r="29" spans="1:2" x14ac:dyDescent="0.25">
      <c r="A29" s="19" t="s">
        <v>73</v>
      </c>
      <c r="B29" s="12">
        <f>B28/B26-1</f>
        <v>-0.5567114705055587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0.084906</v>
      </c>
      <c r="B5" s="31">
        <v>330.0819434958872</v>
      </c>
      <c r="C5" s="31">
        <v>336.6390079756262</v>
      </c>
      <c r="D5" s="31">
        <v>344.06147678072807</v>
      </c>
      <c r="E5" s="31">
        <v>352.585773341791</v>
      </c>
      <c r="F5" s="31">
        <v>362.54306858694855</v>
      </c>
    </row>
    <row r="6" spans="1:6" x14ac:dyDescent="0.25">
      <c r="A6" s="30">
        <v>0.094906</v>
      </c>
      <c r="B6" s="31">
        <v>274.37121982379597</v>
      </c>
      <c r="C6" s="31">
        <v>277.08465035763163</v>
      </c>
      <c r="D6" s="31">
        <v>279.99780372802775</v>
      </c>
      <c r="E6" s="31">
        <v>283.15683656993934</v>
      </c>
      <c r="F6" s="31">
        <v>286.6233152051495</v>
      </c>
    </row>
    <row r="7" spans="1:6" x14ac:dyDescent="0.25">
      <c r="A7" s="30">
        <v>0.104906</v>
      </c>
      <c r="B7" s="31">
        <v>233.13672628553553</v>
      </c>
      <c r="C7" s="31">
        <v>234.35047661324336</v>
      </c>
      <c r="D7" s="32">
        <v>235.56422694095107</v>
      </c>
      <c r="E7" s="31">
        <v>236.77797726865882</v>
      </c>
      <c r="F7" s="31">
        <v>237.99172759636656</v>
      </c>
    </row>
    <row r="8" spans="1:6" x14ac:dyDescent="0.25">
      <c r="A8" s="30">
        <v>0.114906</v>
      </c>
      <c r="B8" s="31">
        <v>201.95257845339847</v>
      </c>
      <c r="C8" s="31">
        <v>203.0166696205271</v>
      </c>
      <c r="D8" s="31">
        <v>204.08076078765563</v>
      </c>
      <c r="E8" s="31">
        <v>205.14485195478423</v>
      </c>
      <c r="F8" s="31">
        <v>206.2089431219127</v>
      </c>
    </row>
    <row r="9" spans="1:6" x14ac:dyDescent="0.25">
      <c r="A9" s="30">
        <v>0.124906</v>
      </c>
      <c r="B9" s="31">
        <v>176.05840964677728</v>
      </c>
      <c r="C9" s="31">
        <v>176.99875488937874</v>
      </c>
      <c r="D9" s="31">
        <v>177.93910013198015</v>
      </c>
      <c r="E9" s="31">
        <v>178.87944537458168</v>
      </c>
      <c r="F9" s="31">
        <v>179.81979061718317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93509000000</v>
      </c>
      <c r="C5" s="18">
        <v>89207000000</v>
      </c>
      <c r="D5" s="18">
        <v>78554000000</v>
      </c>
      <c r="E5" s="18">
        <v>86437000000</v>
      </c>
      <c r="F5" s="8" t="s">
        <v>84</v>
      </c>
    </row>
    <row r="6" spans="1:6" x14ac:dyDescent="0.25">
      <c r="A6" t="s">
        <v>44</v>
      </c>
      <c r="B6" s="18">
        <v>12837000000</v>
      </c>
      <c r="C6" s="18">
        <v>10071000000</v>
      </c>
      <c r="D6" s="18">
        <v>7849000000</v>
      </c>
      <c r="E6" s="18">
        <v>15414000000</v>
      </c>
      <c r="F6" s="8" t="s">
        <v>85</v>
      </c>
    </row>
    <row r="7" spans="1:6" x14ac:dyDescent="0.25">
      <c r="A7" t="s">
        <v>86</v>
      </c>
      <c r="B7" s="18">
        <v>8780000000</v>
      </c>
      <c r="C7" s="18">
        <v>6783000000</v>
      </c>
      <c r="D7" s="18">
        <v>6246000000</v>
      </c>
      <c r="E7" s="18">
        <v>5829000000</v>
      </c>
      <c r="F7" s="8" t="s">
        <v>87</v>
      </c>
    </row>
    <row r="8" spans="1:6" x14ac:dyDescent="0.25">
      <c r="A8" t="s">
        <v>88</v>
      </c>
      <c r="B8" s="18">
        <v>15495000000</v>
      </c>
      <c r="C8" s="18">
        <v>14988000000</v>
      </c>
      <c r="D8" s="18">
        <v>15531000000</v>
      </c>
      <c r="E8" s="18">
        <v>10028000000</v>
      </c>
      <c r="F8" s="8" t="s">
        <v>89</v>
      </c>
    </row>
    <row r="9" spans="1:6" x14ac:dyDescent="0.25">
      <c r="A9" t="s">
        <v>90</v>
      </c>
      <c r="B9" s="18">
        <v>-3993000000</v>
      </c>
      <c r="C9" s="18">
        <v>-1922000000</v>
      </c>
      <c r="D9" s="18">
        <v>-722000000</v>
      </c>
      <c r="E9" s="18">
        <v>2750000000</v>
      </c>
      <c r="F9" s="8" t="s">
        <v>91</v>
      </c>
    </row>
    <row r="10" spans="1:6" x14ac:dyDescent="0.25">
      <c r="A10" t="s">
        <v>92</v>
      </c>
      <c r="B10" s="18">
        <v>23795000000</v>
      </c>
      <c r="C10" s="18">
        <v>16507000000</v>
      </c>
      <c r="D10" s="18">
        <v>14582000000</v>
      </c>
      <c r="E10" s="18">
        <v>11192000000</v>
      </c>
      <c r="F10" s="8" t="s">
        <v>93</v>
      </c>
    </row>
    <row r="11" spans="1:6" x14ac:dyDescent="0.25">
      <c r="A11" t="s">
        <v>94</v>
      </c>
      <c r="B11" s="18">
        <v>9237000000</v>
      </c>
      <c r="C11" s="18">
        <v>7052000000</v>
      </c>
      <c r="D11" s="18">
        <v>4978000000</v>
      </c>
      <c r="E11" s="18">
        <v>12159000000</v>
      </c>
      <c r="F11" s="8" t="s">
        <v>95</v>
      </c>
    </row>
    <row r="12" spans="1:6" x14ac:dyDescent="0.25">
      <c r="A12" t="s">
        <v>32</v>
      </c>
      <c r="B12" s="34">
        <v>281633938</v>
      </c>
      <c r="C12" s="34">
        <v>273471169</v>
      </c>
      <c r="D12" s="34">
        <v>273503169</v>
      </c>
      <c r="E12" s="34">
        <v>273511169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2026-09-19T00:06:27Z</dcterms:modified>
</cp:coreProperties>
</file>