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<sst xmlns="http://schemas.openxmlformats.org/spreadsheetml/2006/main" count="115" uniqueCount="103">
  <si>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Bank of Queensland Limited (BOQ.AX)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</si>
  <si>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</si>
  <si>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</si>
  <si>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</si>
  <si>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</si>
  <si>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</si>
  <si>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</si>
  <si>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</si>
  <si>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</si>
  <si>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</si>
  <si>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</si>
  <si>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</si>
  <si>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</si>
  <si>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</si>
  <si>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</si>
  <si>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</si>
  <si>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</si>
  <si>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</si>
  <si>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</si>
  <si>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</si>
  <si>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</si>
  <si>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</si>
  <si>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18.5%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</si>
  <si>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</si>
  <si>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</si>
  <si>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</si>
  <si>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</si>
  <si>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</si>
  <si>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</si>
  <si>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</si>
  <si>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2024-08-31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</si>
  <si>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</si>
  <si>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</si>
  <si>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</si>
  <si>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</si>
  <si>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</si>
  <si>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</si>
  <si>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</si>
  <si>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</si>
  <si>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</si>
  <si>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</si>
  <si>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</si>
  <si>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</si>
  <si>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</si>
  <si>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</si>
  <si>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</si>
  <si>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</si>
  <si>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</si>
  <si>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</si>
  <si>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</si>
  <si>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</si>
  <si>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</si>
  <si>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</si>
  <si>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</si>
  <si>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</si>
  <si>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</si>
  <si>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</si>
  <si>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</si>
  <si>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</si>
  <si>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</si>
  <si>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</si>
  <si>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</si>
  <si>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</si>
  <si>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</si>
  <si>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</si>
  <si>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</si>
  <si>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</si>
  <si>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</si>
  <si>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</si>
  <si>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</si>
  <si>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</si>
  <si>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</si>
  <si>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</si>
  <si>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</si>
  <si>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</si>
  <si>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</si>
  <si>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</si>
  <si>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</si>
  <si>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</si>
  <si>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2024-08-31</t>
  </si>
  <si>
    <t>2023-08-31</t>
  </si>
  <si>
    <t>2022-08-31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</si>
  <si>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</si>
  <si>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</si>
  <si>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</si>
  <si>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</si>
  <si>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</si>
  <si>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</si>
  <si>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</si>
  <si>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</si>
  <si>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</si>
  <si>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</si>
  <si>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</si>
  <si>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</si>
  <si>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</si>
  <si>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</si>
  <si>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</si>
  <si>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</si>
  <si>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</si>
  <si>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</si>
  <si>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Capital expenditure runs at 10.8% of revenue against depreciation of 7.6%. A perpetuity has to be a steady state, so the terminal year uses maintenance capex at depreciation and then charges the reinvestment terminal growth requires (g/ROIC of NOPAT). The bridge is shown under Terminal Value.</t>
  </si>
  <si>
    <t>Current EV/EBITDA of 35.1x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</si>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</sst>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-0.015594901446435827</v>
      </c>
    </row>
    <row r="7" spans="1:2" x14ac:dyDescent="0.25">
      <c r="A7" t="s">
        <v>5</v>
      </c>
      <c r="B7" s="6">
        <v>0.2665933769033275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0.07638961448587951</v>
      </c>
    </row>
    <row r="10" spans="1:2" x14ac:dyDescent="0.25">
      <c r="A10" t="s">
        <v>8</v>
      </c>
      <c r="B10" s="6">
        <v>0.10779873620180828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0.0608847463829984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0.78627</v>
      </c>
      <c r="C19" s="8" t="s">
        <v>19</v>
      </c>
    </row>
    <row r="20" spans="1:2" x14ac:dyDescent="0.25">
      <c r="A20" t="s">
        <v>20</v>
      </c>
      <c r="B20" s="10">
        <f>B17+B19*B18</f>
        <v>0.1006562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4361184256</v>
      </c>
    </row>
    <row r="23" spans="1:2" x14ac:dyDescent="0.25">
      <c r="A23" t="s">
        <v>24</v>
      </c>
      <c r="B23" s="11">
        <v>18357000000</v>
      </c>
    </row>
    <row r="24" spans="1:2" x14ac:dyDescent="0.25">
      <c r="A24" t="s">
        <v>25</v>
      </c>
      <c r="B24" s="10">
        <f>B22/(B22+B23)</f>
        <v>0.1919688742223396</v>
      </c>
    </row>
    <row r="25" spans="1:2" x14ac:dyDescent="0.25">
      <c r="A25" t="s">
        <v>26</v>
      </c>
      <c r="B25" s="10">
        <f>1-B24</f>
        <v>0.8080311257776605</v>
      </c>
    </row>
    <row r="26" spans="1:2" x14ac:dyDescent="0.25">
      <c r="A26" t="s">
        <v>27</v>
      </c>
      <c r="B26" s="12">
        <f>B24*B20+B25*B21*(1-B8)</f>
        <v>0.0608847463829984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1597000000</v>
      </c>
      <c r="C29" s="8" t="s">
        <v>30</v>
      </c>
    </row>
    <row r="30" spans="1:2" x14ac:dyDescent="0.25">
      <c r="A30" t="s">
        <v>31</v>
      </c>
      <c r="B30" s="11">
        <v>15210000000</v>
      </c>
    </row>
    <row r="31" spans="1:2" x14ac:dyDescent="0.25">
      <c r="A31" t="s">
        <v>32</v>
      </c>
      <c r="B31" s="13">
        <v>828208365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-0.015594901446435827</v>
      </c>
      <c r="C5" s="10">
        <f>Assumptions!B6</f>
        <v>-0.015594901446435827</v>
      </c>
      <c r="D5" s="10">
        <f>Assumptions!B6</f>
        <v>-0.015594901446435827</v>
      </c>
      <c r="E5" s="10">
        <f>Assumptions!B6</f>
        <v>-0.015594901446435827</v>
      </c>
      <c r="F5" s="10">
        <f>Assumptions!B6</f>
        <v>-0.015594901446435827</v>
      </c>
    </row>
    <row r="6" spans="1:6" x14ac:dyDescent="0.25">
      <c r="A6" t="s">
        <v>43</v>
      </c>
      <c r="B6" s="18">
        <f>Assumptions!B29*(1+B5)</f>
        <v>1572094942.390042</v>
      </c>
      <c r="C6" s="18">
        <f>B6*(1+C5)</f>
        <v>1547578276.6990292</v>
      </c>
      <c r="D6" s="18">
        <f>C6*(1+D5)</f>
        <v>1523443945.9932628</v>
      </c>
      <c r="E6" s="18">
        <f>D6*(1+E5)</f>
        <v>1499685987.7963285</v>
      </c>
      <c r="F6" s="18">
        <f>E6*(1+F5)</f>
        <v>1476298532.616044</v>
      </c>
    </row>
    <row r="7" spans="1:6" x14ac:dyDescent="0.25">
      <c r="A7" t="s">
        <v>5</v>
      </c>
      <c r="B7" s="10">
        <f>Assumptions!B7</f>
        <v>0.2665933769033275</v>
      </c>
      <c r="C7" s="10">
        <f>Assumptions!B7</f>
        <v>0.2665933769033275</v>
      </c>
      <c r="D7" s="10">
        <f>Assumptions!B7</f>
        <v>0.2665933769033275</v>
      </c>
      <c r="E7" s="10">
        <f>Assumptions!B7</f>
        <v>0.2665933769033275</v>
      </c>
      <c r="F7" s="10">
        <f>Assumptions!B7</f>
        <v>0.2665933769033275</v>
      </c>
    </row>
    <row r="8" spans="1:6" x14ac:dyDescent="0.25">
      <c r="A8" t="s">
        <v>44</v>
      </c>
      <c r="B8" s="18">
        <f>B6*B7</f>
        <v>419110099.5044035</v>
      </c>
      <c r="C8" s="18">
        <f>C6*C7</f>
        <v>412574118.8074264</v>
      </c>
      <c r="D8" s="18">
        <f>D6*D7</f>
        <v>406140066.08527446</v>
      </c>
      <c r="E8" s="18">
        <f>E6*E7</f>
        <v>399806351.7812256</v>
      </c>
      <c r="F8" s="18">
        <f>F6*F7</f>
        <v>393571411.1275384</v>
      </c>
    </row>
    <row r="9" spans="1:6" x14ac:dyDescent="0.25">
      <c r="A9" t="s">
        <v>45</v>
      </c>
      <c r="B9" s="18">
        <f>B8*(1-Assumptions!B8)</f>
        <v>293377069.65308243</v>
      </c>
      <c r="C9" s="18">
        <f>C8*(1-Assumptions!B8)</f>
        <v>288801883.16519845</v>
      </c>
      <c r="D9" s="18">
        <f>D8*(1-Assumptions!B8)</f>
        <v>284298046.2596921</v>
      </c>
      <c r="E9" s="18">
        <f>E8*(1-Assumptions!B8)</f>
        <v>279864446.24685794</v>
      </c>
      <c r="F9" s="18">
        <f>F8*(1-Assumptions!B8)</f>
        <v>275499987.78927684</v>
      </c>
    </row>
    <row r="10" spans="1:6" x14ac:dyDescent="0.25">
      <c r="A10" t="s">
        <v>46</v>
      </c>
      <c r="B10" s="18">
        <f>B6*Assumptions!B9</f>
        <v>120091726.58437628</v>
      </c>
      <c r="C10" s="18">
        <f>C6*Assumptions!B9</f>
        <v>118218907.94376062</v>
      </c>
      <c r="D10" s="18">
        <f>D6*Assumptions!B9</f>
        <v>116375295.72527239</v>
      </c>
      <c r="E10" s="18">
        <f>E6*Assumptions!B9</f>
        <v>114560434.45763694</v>
      </c>
      <c r="F10" s="18">
        <f>F6*Assumptions!B9</f>
        <v>112773875.77260922</v>
      </c>
    </row>
    <row r="11" spans="1:6" x14ac:dyDescent="0.25">
      <c r="A11" t="s">
        <v>47</v>
      </c>
      <c r="B11" s="18">
        <f>-B6*Assumptions!B10</f>
        <v>-169469847.97890115</v>
      </c>
      <c r="C11" s="18">
        <f>-C6*Assumptions!B10</f>
        <v>-166826982.40152773</v>
      </c>
      <c r="D11" s="18">
        <f>-D6*Assumptions!B10</f>
        <v>-164225332.0523696</v>
      </c>
      <c r="E11" s="18">
        <f>-E6*Assumptions!B10</f>
        <v>-161664254.1840047</v>
      </c>
      <c r="F11" s="18">
        <f>-F6*Assumptions!B10</f>
        <v>-159143116.0725936</v>
      </c>
    </row>
    <row r="12" spans="1:6" x14ac:dyDescent="0.25">
      <c r="A12" t="s">
        <v>48</v>
      </c>
      <c r="B12" s="18">
        <f>-(B6-Assumptions!B29)*Assumptions!B11</f>
        <v>-24905057.609957933</v>
      </c>
      <c r="C12" s="18">
        <f>-(C6-B6)*Assumptions!B11</f>
        <v>-24516665.69101286</v>
      </c>
      <c r="D12" s="18">
        <f>-(D6-C6)*Assumptions!B11</f>
        <v>-24134330.70576644</v>
      </c>
      <c r="E12" s="18">
        <f>-(E6-D6)*Assumptions!B11</f>
        <v>-23757958.196934223</v>
      </c>
      <c r="F12" s="18">
        <f>-(F6-E6)*Assumptions!B11</f>
        <v>-23387455.1802845</v>
      </c>
    </row>
    <row r="13" spans="1:6" x14ac:dyDescent="0.25">
      <c r="A13" s="19" t="s">
        <v>49</v>
      </c>
      <c r="B13" s="20">
        <f>B9+B10+B11+B12</f>
        <v>219093890.64859962</v>
      </c>
      <c r="C13" s="20">
        <f>C9+C10+C11+C12</f>
        <v>215677143.0164185</v>
      </c>
      <c r="D13" s="20">
        <f>D9+D10+D11+D12</f>
        <v>212313679.22682846</v>
      </c>
      <c r="E13" s="20">
        <f>E9+E10+E11+E12</f>
        <v>209002668.32355598</v>
      </c>
      <c r="F13" s="20">
        <f>F9+F10+F11+F12</f>
        <v>205743292.30900797</v>
      </c>
    </row>
    <row r="14" spans="1:6" x14ac:dyDescent="0.25">
      <c r="A14" t="s">
        <v>50</v>
      </c>
      <c r="B14" s="21">
        <f>1/(1+Assumptions!$B$26)^(1-0.5*Assumptions!$B$32)</f>
        <v>0.9708807660932194</v>
      </c>
      <c r="C14" s="21">
        <f>1/(1+Assumptions!$B$26)^(2-0.5*Assumptions!$B$32)</f>
        <v>0.9151613965639148</v>
      </c>
      <c r="D14" s="21">
        <f>1/(1+Assumptions!$B$26)^(3-0.5*Assumptions!$B$32)</f>
        <v>0.8626397916306029</v>
      </c>
      <c r="E14" s="21">
        <f>1/(1+Assumptions!$B$26)^(4-0.5*Assumptions!$B$32)</f>
        <v>0.8131324298626257</v>
      </c>
      <c r="F14" s="21">
        <f>1/(1+Assumptions!$B$26)^(5-0.5*Assumptions!$B$32)</f>
        <v>0.7664663222229706</v>
      </c>
    </row>
    <row r="15" spans="1:6" x14ac:dyDescent="0.25">
      <c r="A15" s="19" t="s">
        <v>51</v>
      </c>
      <c r="B15" s="20">
        <f>B13*B14</f>
        <v>212714044.39925644</v>
      </c>
      <c r="C15" s="20">
        <f>C13*C14</f>
        <v>197379395.40982074</v>
      </c>
      <c r="D15" s="20">
        <f>D13*D14</f>
        <v>183150228.00855798</v>
      </c>
      <c r="E15" s="20">
        <f>E13*E14</f>
        <v>169946847.5417055</v>
      </c>
      <c r="F15" s="20">
        <f>F13*F14</f>
        <v>157695304.57813093</v>
      </c>
    </row>
    <row r="17" spans="1:2" x14ac:dyDescent="0.25">
      <c r="A17" s="22" t="s">
        <v>52</v>
      </c>
      <c r="B17" s="23">
        <f>SUM(B15:F15)</f>
        <v>920885819.9374715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205743292.30900797</v>
      </c>
    </row>
    <row r="5" spans="1:2" x14ac:dyDescent="0.25">
      <c r="A5" t="s">
        <v>56</v>
      </c>
      <c r="B5" s="18">
        <f>IF(Assumptions!$B$33=0,B4,B4-Forecast!F11-Forecast!F10-Forecast!F12)</f>
        <v>327065090.7015053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0.41061187711510383</v>
      </c>
    </row>
    <row r="7" spans="1:2" x14ac:dyDescent="0.25">
      <c r="A7" t="s">
        <v>58</v>
      </c>
      <c r="B7" s="18">
        <f>-MAX(Forecast!F9,0)*B6</f>
        <v>-134296810.83176678</v>
      </c>
    </row>
    <row r="8" spans="1:2" x14ac:dyDescent="0.25">
      <c r="A8" t="s">
        <v>59</v>
      </c>
      <c r="B8" s="18">
        <f>IF(OR(Assumptions!$B$33=0,Assumptions!B12&lt;=0),B5,MAX(B5+B7,0))</f>
        <v>192768279.86973852</v>
      </c>
    </row>
    <row r="9" spans="1:2" x14ac:dyDescent="0.25">
      <c r="A9" t="s">
        <v>60</v>
      </c>
      <c r="B9" s="18">
        <f>B8*(1+Assumptions!B12)/(Assumptions!B26-Assumptions!B12)</f>
        <v>5506169244.102437</v>
      </c>
    </row>
    <row r="10" spans="1:2" x14ac:dyDescent="0.25">
      <c r="A10" t="s">
        <v>61</v>
      </c>
      <c r="B10" s="18">
        <f>B9/(1+Assumptions!B26)^(5-0.5*Assumptions!B32)</f>
        <v>4220293290.0644293</v>
      </c>
    </row>
    <row r="11" spans="1:2" x14ac:dyDescent="0.25">
      <c r="A11" t="s">
        <v>62</v>
      </c>
      <c r="B11" s="18">
        <f>Forecast!B17+B10</f>
        <v>5141179110.001901</v>
      </c>
    </row>
    <row r="12" spans="1:2" x14ac:dyDescent="0.25">
      <c r="A12" t="s">
        <v>63</v>
      </c>
      <c r="B12" s="18">
        <f>-Assumptions!B30</f>
        <v>-15210000000</v>
      </c>
    </row>
    <row r="13" spans="1:2" x14ac:dyDescent="0.25">
      <c r="A13" t="s">
        <v>64</v>
      </c>
      <c r="B13" s="18">
        <f>B11+B12</f>
        <v>-10068820889.9981</v>
      </c>
    </row>
    <row r="14" spans="1:2" x14ac:dyDescent="0.25">
      <c r="A14" s="19" t="s">
        <v>65</v>
      </c>
      <c r="B14" s="24">
        <f>B13/Assumptions!B31</f>
        <v>-12.157352322803574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506345286.9001476</v>
      </c>
    </row>
    <row r="18" spans="1:2" x14ac:dyDescent="0.25">
      <c r="A18" t="s">
        <v>60</v>
      </c>
      <c r="B18" s="18">
        <f>B17*Assumptions!B13</f>
        <v>10126905738.002953</v>
      </c>
    </row>
    <row r="19" spans="1:2" x14ac:dyDescent="0.25">
      <c r="A19" t="s">
        <v>61</v>
      </c>
      <c r="B19" s="18">
        <f>B18/(1+Assumptions!B26)^(5-0.5*Assumptions!B32)</f>
        <v>7761932196.505821</v>
      </c>
    </row>
    <row r="20" spans="1:2" x14ac:dyDescent="0.25">
      <c r="A20" t="s">
        <v>62</v>
      </c>
      <c r="B20" s="18">
        <f>Forecast!B17+B19</f>
        <v>8682818016.443293</v>
      </c>
    </row>
    <row r="21" spans="1:2" x14ac:dyDescent="0.25">
      <c r="A21" t="s">
        <v>63</v>
      </c>
      <c r="B21" s="18">
        <f>-Assumptions!B30</f>
        <v>-15210000000</v>
      </c>
    </row>
    <row r="22" spans="1:2" x14ac:dyDescent="0.25">
      <c r="A22" t="s">
        <v>64</v>
      </c>
      <c r="B22" s="18">
        <f>B20+B21</f>
        <v>-6527181983.556707</v>
      </c>
    </row>
    <row r="23" spans="1:2" x14ac:dyDescent="0.25">
      <c r="A23" s="19" t="s">
        <v>65</v>
      </c>
      <c r="B23" s="25">
        <f>B22/Assumptions!B31</f>
        <v>-7.881086764387736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-12.157352322803574</v>
      </c>
    </row>
    <row r="29" spans="1:2" x14ac:dyDescent="0.25">
      <c r="A29" s="19" t="s">
        <v>73</v>
      </c>
      <c r="B29" s="12">
        <f>B28/B26-1</f>
        <v>-2.8281732816245975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0.040885</v>
      </c>
      <c r="B5" s="31">
        <v>-9.01551364326618</v>
      </c>
      <c r="C5" s="31">
        <v>-8.97518735905565</v>
      </c>
      <c r="D5" s="31">
        <v>-8.934861074845118</v>
      </c>
      <c r="E5" s="31">
        <v>-8.894534790634589</v>
      </c>
      <c r="F5" s="31">
        <v>-8.854208506424055</v>
      </c>
    </row>
    <row r="6" spans="1:6" x14ac:dyDescent="0.25">
      <c r="A6" s="30">
        <v>0.050885</v>
      </c>
      <c r="B6" s="31">
        <v>-10.927446702911228</v>
      </c>
      <c r="C6" s="31">
        <v>-10.896409938755154</v>
      </c>
      <c r="D6" s="31">
        <v>-10.865373174599082</v>
      </c>
      <c r="E6" s="31">
        <v>-10.834336410443008</v>
      </c>
      <c r="F6" s="31">
        <v>-10.803299646286934</v>
      </c>
    </row>
    <row r="7" spans="1:6" x14ac:dyDescent="0.25">
      <c r="A7" s="30">
        <v>0.060885</v>
      </c>
      <c r="B7" s="31">
        <v>-12.207093446251994</v>
      </c>
      <c r="C7" s="31">
        <v>-12.182236550927467</v>
      </c>
      <c r="D7" s="32">
        <v>-12.157379655602941</v>
      </c>
      <c r="E7" s="31">
        <v>-12.132522760278418</v>
      </c>
      <c r="F7" s="31">
        <v>-12.107665864953892</v>
      </c>
    </row>
    <row r="8" spans="1:6" x14ac:dyDescent="0.25">
      <c r="A8" s="30">
        <v>0.070885</v>
      </c>
      <c r="B8" s="31">
        <v>-13.122273825336332</v>
      </c>
      <c r="C8" s="31">
        <v>-13.101806198946106</v>
      </c>
      <c r="D8" s="31">
        <v>-13.081338572555879</v>
      </c>
      <c r="E8" s="31">
        <v>-13.060870946165652</v>
      </c>
      <c r="F8" s="31">
        <v>-13.040403319775429</v>
      </c>
    </row>
    <row r="9" spans="1:6" x14ac:dyDescent="0.25">
      <c r="A9" s="30">
        <v>0.080885</v>
      </c>
      <c r="B9" s="31">
        <v>-13.808349511527332</v>
      </c>
      <c r="C9" s="31">
        <v>-13.791147117573585</v>
      </c>
      <c r="D9" s="31">
        <v>-13.773944723619838</v>
      </c>
      <c r="E9" s="31">
        <v>-13.756742329666091</v>
      </c>
      <c r="F9" s="31">
        <v>-13.739539935712344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1597000000</v>
      </c>
      <c r="C5" s="18">
        <v>1754000000</v>
      </c>
      <c r="D5" s="18">
        <v>1648000000</v>
      </c>
      <c r="E5" s="8" t="s">
        <v>83</v>
      </c>
    </row>
    <row r="6" spans="1:5" x14ac:dyDescent="0.25">
      <c r="A6" t="s">
        <v>44</v>
      </c>
      <c r="B6" s="18">
        <v>439000000</v>
      </c>
      <c r="C6" s="18">
        <v>281000000</v>
      </c>
      <c r="D6" s="18">
        <v>601000000</v>
      </c>
      <c r="E6" s="8" t="s">
        <v>84</v>
      </c>
    </row>
    <row r="7" spans="1:5" x14ac:dyDescent="0.25">
      <c r="A7" t="s">
        <v>85</v>
      </c>
      <c r="B7" s="18">
        <v>118000000</v>
      </c>
      <c r="C7" s="18">
        <v>134000000</v>
      </c>
      <c r="D7" s="18">
        <v>130000000</v>
      </c>
      <c r="E7" s="8" t="s">
        <v>86</v>
      </c>
    </row>
    <row r="8" spans="1:5" x14ac:dyDescent="0.25">
      <c r="A8" t="s">
        <v>87</v>
      </c>
      <c r="B8" s="18">
        <v>181000000</v>
      </c>
      <c r="C8" s="18">
        <v>146000000</v>
      </c>
      <c r="D8" s="18">
        <v>209000000</v>
      </c>
      <c r="E8" s="8" t="s">
        <v>88</v>
      </c>
    </row>
    <row r="9" spans="1:5" x14ac:dyDescent="0.25">
      <c r="A9" t="s">
        <v>89</v>
      </c>
      <c r="B9" s="18">
        <v>1339000000</v>
      </c>
      <c r="C9" s="18">
        <v>-2995000000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18357000000</v>
      </c>
      <c r="C10" s="18">
        <v>19322000000</v>
      </c>
      <c r="D10" s="18">
        <v>19187000000</v>
      </c>
      <c r="E10" s="8" t="s">
        <v>92</v>
      </c>
    </row>
    <row r="11" spans="1:5" x14ac:dyDescent="0.25">
      <c r="A11" t="s">
        <v>93</v>
      </c>
      <c r="B11" s="18">
        <v>3147000000</v>
      </c>
      <c r="C11" s="18">
        <v>2875000000</v>
      </c>
      <c r="D11" s="18">
        <v>2795000000</v>
      </c>
      <c r="E11" s="8" t="s">
        <v>94</v>
      </c>
    </row>
    <row r="12" spans="1:5" x14ac:dyDescent="0.25">
      <c r="A12" t="s">
        <v>32</v>
      </c>
      <c r="B12" s="34">
        <v>828208365</v>
      </c>
      <c r="C12" s="34">
        <v>655987563</v>
      </c>
      <c r="D12" s="34">
        <v>733040438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54" customHeight="1" spans="1:5" x14ac:dyDescent="0.25">
      <c r="A19" s="35" t="s">
        <v>100</v>
      </c>
      <c r="B19" s="35"/>
      <c r="C19" s="35"/>
      <c r="D19" s="35"/>
      <c r="E19" s="35"/>
    </row>
    <row r="20" ht="38" customHeight="1" spans="1:5" x14ac:dyDescent="0.25">
      <c r="A20" s="35" t="s">
        <v>101</v>
      </c>
      <c r="B20" s="35"/>
      <c r="C20" s="35"/>
      <c r="D20" s="35"/>
      <c r="E20" s="35"/>
    </row>
    <row r="22" spans="1:1" x14ac:dyDescent="0.25">
      <c r="A22" s="36" t="s">
        <v>102</v>
      </c>
    </row>
  </sheetData>
  <mergeCells count="5">
    <mergeCell ref="A16:E16"/>
    <mergeCell ref="A17:E17"/>
    <mergeCell ref="A18:E18"/>
    <mergeCell ref="A19:E19"/>
    <mergeCell ref="A20:E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