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<sst xmlns="http://schemas.openxmlformats.org/spreadsheetml/2006/main" count="114" uniqueCount="102">
  <si>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BP p.l.c. (BP.L)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</si>
  <si>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</si>
  <si>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</si>
  <si>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</si>
  <si>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</si>
  <si>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</si>
  <si>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</si>
  <si>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</si>
  <si>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</si>
  <si>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</si>
  <si>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</si>
  <si>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</si>
  <si>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</si>
  <si>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</si>
  <si>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</si>
  <si>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</si>
  <si>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</si>
  <si>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</si>
  <si>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</si>
  <si>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Clamped from a reported -0.220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</si>
  <si>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</si>
  <si>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</si>
  <si>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</si>
  <si>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</si>
  <si>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</si>
  <si>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</si>
  <si>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</si>
  <si>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</si>
  <si>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</si>
  <si>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</si>
  <si>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</si>
  <si>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</si>
  <si>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</si>
  <si>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</si>
  <si>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</si>
  <si>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</si>
  <si>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</si>
  <si>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</si>
  <si>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</si>
  <si>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</si>
  <si>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</si>
  <si>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</si>
  <si>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</si>
  <si>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</si>
  <si>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</si>
  <si>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</si>
  <si>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</si>
  <si>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</si>
  <si>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</si>
  <si>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</si>
  <si>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</si>
  <si>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</si>
  <si>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</si>
  <si>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</si>
  <si>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</si>
  <si>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</si>
  <si>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</si>
  <si>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</si>
  <si>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</si>
  <si>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</si>
  <si>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</si>
  <si>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</si>
  <si>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</si>
  <si>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</si>
  <si>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</si>
  <si>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</si>
  <si>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</si>
  <si>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</si>
  <si>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</si>
  <si>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</si>
  <si>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</si>
  <si>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</si>
  <si>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</si>
  <si>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</si>
  <si>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</si>
  <si>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</si>
  <si>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</si>
  <si>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</si>
  <si>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</si>
  <si>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</si>
  <si>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</si>
  <si>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</si>
  <si>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</si>
  <si>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</si>
  <si>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</si>
  <si>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</si>
  <si>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</si>
  <si>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</si>
  <si>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</si>
  <si>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</si>
  <si>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</si>
  <si>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</si>
  <si>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</si>
  <si>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</si>
  <si>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</si>
  <si>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</si>
  <si>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</si>
  <si>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</si>
  <si>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</si>
  <si>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Adjusted: Beta of -0.220 is not usable in a cost of equity. Clamped to 0.30.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</si>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</sst>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-0.07777687020784252</v>
      </c>
    </row>
    <row r="7" spans="1:2" x14ac:dyDescent="0.25">
      <c r="A7" t="s">
        <v>5</v>
      </c>
      <c r="B7" s="6">
        <v>0.11872992493143703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0.07927638664496164</v>
      </c>
    </row>
    <row r="10" spans="1:2" x14ac:dyDescent="0.25">
      <c r="A10" t="s">
        <v>8</v>
      </c>
      <c r="B10" s="6">
        <v>0.06716630313001154</v>
      </c>
    </row>
    <row r="11" spans="1:2" x14ac:dyDescent="0.25">
      <c r="A11" t="s">
        <v>9</v>
      </c>
      <c r="B11" s="6">
        <v>0.18978276438290761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3.6321053440380613</v>
      </c>
    </row>
    <row r="14" spans="1:3" x14ac:dyDescent="0.25">
      <c r="A14" t="s">
        <v>12</v>
      </c>
      <c r="B14" s="6">
        <v>0.14866942186315057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0.0615</v>
      </c>
    </row>
    <row r="21" spans="1:3" x14ac:dyDescent="0.25">
      <c r="A21" t="s">
        <v>21</v>
      </c>
      <c r="B21" s="6">
        <v>0.07118465254449041</v>
      </c>
      <c r="C21" s="8" t="s">
        <v>22</v>
      </c>
    </row>
    <row r="22" spans="1:2" x14ac:dyDescent="0.25">
      <c r="A22" t="s">
        <v>23</v>
      </c>
      <c r="B22" s="11">
        <v>86332702720</v>
      </c>
    </row>
    <row r="23" spans="1:2" x14ac:dyDescent="0.25">
      <c r="A23" t="s">
        <v>24</v>
      </c>
      <c r="B23" s="11">
        <v>72529000000</v>
      </c>
    </row>
    <row r="24" spans="1:2" x14ac:dyDescent="0.25">
      <c r="A24" t="s">
        <v>25</v>
      </c>
      <c r="B24" s="10">
        <f>B22/(B22+B23)</f>
        <v>0.5434456589714689</v>
      </c>
    </row>
    <row r="25" spans="1:2" x14ac:dyDescent="0.25">
      <c r="A25" t="s">
        <v>26</v>
      </c>
      <c r="B25" s="10">
        <f>1-B24</f>
        <v>0.4565543410285311</v>
      </c>
    </row>
    <row r="26" spans="1:2" x14ac:dyDescent="0.25">
      <c r="A26" t="s">
        <v>27</v>
      </c>
      <c r="B26" s="12">
        <f>B24*B20+B25*B21*(1-B8)</f>
        <v>0.057796654627091416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189335000000</v>
      </c>
      <c r="C29" s="8" t="s">
        <v>30</v>
      </c>
    </row>
    <row r="30" spans="1:2" x14ac:dyDescent="0.25">
      <c r="A30" t="s">
        <v>31</v>
      </c>
      <c r="B30" s="11">
        <v>35815000000</v>
      </c>
    </row>
    <row r="31" spans="1:2" x14ac:dyDescent="0.25">
      <c r="A31" t="s">
        <v>32</v>
      </c>
      <c r="B31" s="13">
        <v>15913000000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-0.07777687020784252</v>
      </c>
      <c r="C5" s="10">
        <f>Assumptions!B6</f>
        <v>-0.07777687020784252</v>
      </c>
      <c r="D5" s="10">
        <f>Assumptions!B6</f>
        <v>-0.07777687020784252</v>
      </c>
      <c r="E5" s="10">
        <f>Assumptions!B6</f>
        <v>-0.07777687020784252</v>
      </c>
      <c r="F5" s="10">
        <f>Assumptions!B6</f>
        <v>-0.07777687020784252</v>
      </c>
    </row>
    <row r="6" spans="1:6" x14ac:dyDescent="0.25">
      <c r="A6" t="s">
        <v>43</v>
      </c>
      <c r="B6" s="18">
        <f>Assumptions!B29*(1+B5)</f>
        <v>174609116279.19815</v>
      </c>
      <c r="C6" s="18">
        <f>B6*(1+C5)</f>
        <v>161028565705.24487</v>
      </c>
      <c r="D6" s="18">
        <f>C6*(1+D5)</f>
        <v>148504267850.633</v>
      </c>
      <c r="E6" s="18">
        <f>D6*(1+E5)</f>
        <v>136954070684.70363</v>
      </c>
      <c r="F6" s="18">
        <f>E6*(1+F5)</f>
        <v>126302211704.62375</v>
      </c>
    </row>
    <row r="7" spans="1:6" x14ac:dyDescent="0.25">
      <c r="A7" t="s">
        <v>5</v>
      </c>
      <c r="B7" s="10">
        <f>Assumptions!B7</f>
        <v>0.11872992493143703</v>
      </c>
      <c r="C7" s="10">
        <f>Assumptions!B7</f>
        <v>0.11872992493143703</v>
      </c>
      <c r="D7" s="10">
        <f>Assumptions!B7</f>
        <v>0.11872992493143703</v>
      </c>
      <c r="E7" s="10">
        <f>Assumptions!B7</f>
        <v>0.11872992493143703</v>
      </c>
      <c r="F7" s="10">
        <f>Assumptions!B7</f>
        <v>0.11872992493143703</v>
      </c>
    </row>
    <row r="8" spans="1:6" x14ac:dyDescent="0.25">
      <c r="A8" t="s">
        <v>44</v>
      </c>
      <c r="B8" s="18">
        <f>B6*B7</f>
        <v>20731327268.173756</v>
      </c>
      <c r="C8" s="18">
        <f>C6*C7</f>
        <v>19118909518.000698</v>
      </c>
      <c r="D8" s="18">
        <f>D6*D7</f>
        <v>17631900573.90367</v>
      </c>
      <c r="E8" s="18">
        <f>E6*E7</f>
        <v>16260546531.449581</v>
      </c>
      <c r="F8" s="18">
        <f>F6*F7</f>
        <v>14995852114.364445</v>
      </c>
    </row>
    <row r="9" spans="1:6" x14ac:dyDescent="0.25">
      <c r="A9" t="s">
        <v>45</v>
      </c>
      <c r="B9" s="18">
        <f>B8*(1-Assumptions!B8)</f>
        <v>15548495451.130318</v>
      </c>
      <c r="C9" s="18">
        <f>C8*(1-Assumptions!B8)</f>
        <v>14339182138.500523</v>
      </c>
      <c r="D9" s="18">
        <f>D8*(1-Assumptions!B8)</f>
        <v>13223925430.427753</v>
      </c>
      <c r="E9" s="18">
        <f>E8*(1-Assumptions!B8)</f>
        <v>12195409898.587185</v>
      </c>
      <c r="F9" s="18">
        <f>F8*(1-Assumptions!B8)</f>
        <v>11246889085.773335</v>
      </c>
    </row>
    <row r="10" spans="1:6" x14ac:dyDescent="0.25">
      <c r="A10" t="s">
        <v>46</v>
      </c>
      <c r="B10" s="18">
        <f>B6*Assumptions!B9</f>
        <v>13842379813.884779</v>
      </c>
      <c r="C10" s="18">
        <f>C6*Assumptions!B9</f>
        <v>12765762835.732603</v>
      </c>
      <c r="D10" s="18">
        <f>D6*Assumptions!B9</f>
        <v>11772881756.553728</v>
      </c>
      <c r="E10" s="18">
        <f>E6*Assumptions!B9</f>
        <v>10857223860.201971</v>
      </c>
      <c r="F10" s="18">
        <f>F6*Assumptions!B9</f>
        <v>10012782969.209553</v>
      </c>
    </row>
    <row r="11" spans="1:6" x14ac:dyDescent="0.25">
      <c r="A11" t="s">
        <v>47</v>
      </c>
      <c r="B11" s="18">
        <f>-B6*Assumptions!B10</f>
        <v>-11727848833.272057</v>
      </c>
      <c r="C11" s="18">
        <f>-C6*Assumptions!B10</f>
        <v>-10815693456.749458</v>
      </c>
      <c r="D11" s="18">
        <f>-D6*Assumptions!B10</f>
        <v>-9974482670.556044</v>
      </c>
      <c r="E11" s="18">
        <f>-E6*Assumptions!B10</f>
        <v>-9198698626.497831</v>
      </c>
      <c r="F11" s="18">
        <f>-F6*Assumptions!B10</f>
        <v>-8483252637.34365</v>
      </c>
    </row>
    <row r="12" spans="1:6" x14ac:dyDescent="0.25">
      <c r="A12" t="s">
        <v>48</v>
      </c>
      <c r="B12" s="18">
        <f>-(B6-Assumptions!B29)*Assumptions!B11</f>
        <v>2794718920.5150323</v>
      </c>
      <c r="C12" s="18">
        <f>-(C6-B6)*Assumptions!B11</f>
        <v>2577354429.7667356</v>
      </c>
      <c r="D12" s="18">
        <f>-(D6-C6)*Assumptions!B11</f>
        <v>2376895868.803161</v>
      </c>
      <c r="E12" s="18">
        <f>-(E6-D6)*Assumptions!B11</f>
        <v>2192028347.3177004</v>
      </c>
      <c r="F12" s="18">
        <f>-(F6-E6)*Assumptions!B11</f>
        <v>2021539243.0564585</v>
      </c>
    </row>
    <row r="13" spans="1:6" x14ac:dyDescent="0.25">
      <c r="A13" s="19" t="s">
        <v>49</v>
      </c>
      <c r="B13" s="20">
        <f>B9+B10+B11+B12</f>
        <v>20457745352.258076</v>
      </c>
      <c r="C13" s="20">
        <f>C9+C10+C11+C12</f>
        <v>18866605947.2504</v>
      </c>
      <c r="D13" s="20">
        <f>D9+D10+D11+D12</f>
        <v>17399220385.2286</v>
      </c>
      <c r="E13" s="20">
        <f>E9+E10+E11+E12</f>
        <v>16045963479.609024</v>
      </c>
      <c r="F13" s="20">
        <f>F9+F10+F11+F12</f>
        <v>14797958660.695694</v>
      </c>
    </row>
    <row r="14" spans="1:6" x14ac:dyDescent="0.25">
      <c r="A14" t="s">
        <v>50</v>
      </c>
      <c r="B14" s="21">
        <f>1/(1+Assumptions!$B$26)^(1-0.5*Assumptions!$B$32)</f>
        <v>0.9722969096778625</v>
      </c>
      <c r="C14" s="21">
        <f>1/(1+Assumptions!$B$26)^(2-0.5*Assumptions!$B$32)</f>
        <v>0.9191718516264639</v>
      </c>
      <c r="D14" s="21">
        <f>1/(1+Assumptions!$B$26)^(3-0.5*Assumptions!$B$32)</f>
        <v>0.8689494787166844</v>
      </c>
      <c r="E14" s="21">
        <f>1/(1+Assumptions!$B$26)^(4-0.5*Assumptions!$B$32)</f>
        <v>0.8214711919494755</v>
      </c>
      <c r="F14" s="21">
        <f>1/(1+Assumptions!$B$26)^(5-0.5*Assumptions!$B$32)</f>
        <v>0.7765870579719989</v>
      </c>
    </row>
    <row r="15" spans="1:6" x14ac:dyDescent="0.25">
      <c r="A15" s="19" t="s">
        <v>51</v>
      </c>
      <c r="B15" s="20">
        <f>B13*B14</f>
        <v>19891002584.97718</v>
      </c>
      <c r="C15" s="20">
        <f>C13*C14</f>
        <v>17341653122.441006</v>
      </c>
      <c r="D15" s="20">
        <f>D13*D14</f>
        <v>15119043483.8211</v>
      </c>
      <c r="E15" s="20">
        <f>E13*E14</f>
        <v>13181296745.572178</v>
      </c>
      <c r="F15" s="20">
        <f>F13*F14</f>
        <v>11491903180.30093</v>
      </c>
    </row>
    <row r="17" spans="1:2" x14ac:dyDescent="0.25">
      <c r="A17" s="22" t="s">
        <v>52</v>
      </c>
      <c r="B17" s="23">
        <f>SUM(B15:F15)</f>
        <v>77024899117.1124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14797958660.695694</v>
      </c>
    </row>
    <row r="5" spans="1:2" x14ac:dyDescent="0.25">
      <c r="A5" t="s">
        <v>56</v>
      </c>
      <c r="B5" s="18">
        <f>IF(Assumptions!$B$33=0,B4,B4-Forecast!F11-Forecast!F10-Forecast!F12)</f>
        <v>11246889085.773335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0.16815831854792823</v>
      </c>
    </row>
    <row r="7" spans="1:2" x14ac:dyDescent="0.25">
      <c r="A7" t="s">
        <v>58</v>
      </c>
      <c r="B7" s="18">
        <f>-MAX(Forecast!F9,0)*B6</f>
        <v>-1891257957.5586896</v>
      </c>
    </row>
    <row r="8" spans="1:2" x14ac:dyDescent="0.25">
      <c r="A8" t="s">
        <v>59</v>
      </c>
      <c r="B8" s="18">
        <f>IF(OR(Assumptions!$B$33=0,Assumptions!B12&lt;=0),B5,MAX(B5+B7,0))</f>
        <v>9355631128.214645</v>
      </c>
    </row>
    <row r="9" spans="1:2" x14ac:dyDescent="0.25">
      <c r="A9" t="s">
        <v>60</v>
      </c>
      <c r="B9" s="18">
        <f>B8*(1+Assumptions!B12)/(Assumptions!B26-Assumptions!B12)</f>
        <v>292393294848.3917</v>
      </c>
    </row>
    <row r="10" spans="1:2" x14ac:dyDescent="0.25">
      <c r="A10" t="s">
        <v>61</v>
      </c>
      <c r="B10" s="18">
        <f>B9/(1+Assumptions!B26)^(5-0.5*Assumptions!B32)</f>
        <v>227068848617.05176</v>
      </c>
    </row>
    <row r="11" spans="1:2" x14ac:dyDescent="0.25">
      <c r="A11" t="s">
        <v>62</v>
      </c>
      <c r="B11" s="18">
        <f>Forecast!B17+B10</f>
        <v>304093747734.1642</v>
      </c>
    </row>
    <row r="12" spans="1:2" x14ac:dyDescent="0.25">
      <c r="A12" t="s">
        <v>63</v>
      </c>
      <c r="B12" s="18">
        <f>-Assumptions!B30</f>
        <v>-35815000000</v>
      </c>
    </row>
    <row r="13" spans="1:2" x14ac:dyDescent="0.25">
      <c r="A13" t="s">
        <v>64</v>
      </c>
      <c r="B13" s="18">
        <f>B11+B12</f>
        <v>268278747734.16418</v>
      </c>
    </row>
    <row r="14" spans="1:2" x14ac:dyDescent="0.25">
      <c r="A14" s="19" t="s">
        <v>65</v>
      </c>
      <c r="B14" s="24">
        <f>B13/Assumptions!B31</f>
        <v>16.85909305185472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25008635083.573997</v>
      </c>
    </row>
    <row r="18" spans="1:2" x14ac:dyDescent="0.25">
      <c r="A18" t="s">
        <v>60</v>
      </c>
      <c r="B18" s="18">
        <f>B17*Assumptions!B13</f>
        <v>90833997134.14687</v>
      </c>
    </row>
    <row r="19" spans="1:2" x14ac:dyDescent="0.25">
      <c r="A19" t="s">
        <v>61</v>
      </c>
      <c r="B19" s="18">
        <f>B18/(1+Assumptions!B26)^(5-0.5*Assumptions!B32)</f>
        <v>70540506598.2441</v>
      </c>
    </row>
    <row r="20" spans="1:2" x14ac:dyDescent="0.25">
      <c r="A20" t="s">
        <v>62</v>
      </c>
      <c r="B20" s="18">
        <f>Forecast!B17+B19</f>
        <v>147565405715.3565</v>
      </c>
    </row>
    <row r="21" spans="1:2" x14ac:dyDescent="0.25">
      <c r="A21" t="s">
        <v>63</v>
      </c>
      <c r="B21" s="18">
        <f>-Assumptions!B30</f>
        <v>-35815000000</v>
      </c>
    </row>
    <row r="22" spans="1:2" x14ac:dyDescent="0.25">
      <c r="A22" t="s">
        <v>64</v>
      </c>
      <c r="B22" s="18">
        <f>B20+B21</f>
        <v>111750405715.3565</v>
      </c>
    </row>
    <row r="23" spans="1:2" x14ac:dyDescent="0.25">
      <c r="A23" s="19" t="s">
        <v>65</v>
      </c>
      <c r="B23" s="25">
        <f>B22/Assumptions!B31</f>
        <v>7.0225856667728594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558.7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1258.750464530629</v>
      </c>
    </row>
    <row r="29" spans="1:2" x14ac:dyDescent="0.25">
      <c r="A29" s="19" t="s">
        <v>73</v>
      </c>
      <c r="B29" s="12">
        <f>B28/B26-1</f>
        <v>1.2529988625928565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0.037797</v>
      </c>
      <c r="B5" s="31">
        <v>26.744489077677983</v>
      </c>
      <c r="C5" s="31">
        <v>32.46932374013844</v>
      </c>
      <c r="D5" s="31">
        <v>42.65201534725174</v>
      </c>
      <c r="E5" s="31">
        <v>65.8686642157797</v>
      </c>
      <c r="F5" s="31">
        <v>172.01893388566555</v>
      </c>
    </row>
    <row r="6" spans="1:6" x14ac:dyDescent="0.25">
      <c r="A6" s="30">
        <v>0.047797</v>
      </c>
      <c r="B6" s="31">
        <v>18.633185314875995</v>
      </c>
      <c r="C6" s="31">
        <v>20.886018335385856</v>
      </c>
      <c r="D6" s="31">
        <v>24.118615125501982</v>
      </c>
      <c r="E6" s="31">
        <v>29.156758488173953</v>
      </c>
      <c r="F6" s="31">
        <v>38.11681933754868</v>
      </c>
    </row>
    <row r="7" spans="1:6" x14ac:dyDescent="0.25">
      <c r="A7" s="30">
        <v>0.057797</v>
      </c>
      <c r="B7" s="31">
        <v>14.293661082287223</v>
      </c>
      <c r="C7" s="31">
        <v>15.409058273067519</v>
      </c>
      <c r="D7" s="32">
        <v>16.858918300069746</v>
      </c>
      <c r="E7" s="31">
        <v>18.823726199208917</v>
      </c>
      <c r="F7" s="31">
        <v>21.642308047690523</v>
      </c>
    </row>
    <row r="8" spans="1:6" x14ac:dyDescent="0.25">
      <c r="A8" s="30">
        <v>0.067797</v>
      </c>
      <c r="B8" s="31">
        <v>11.583557870990447</v>
      </c>
      <c r="C8" s="31">
        <v>12.206744599191572</v>
      </c>
      <c r="D8" s="31">
        <v>12.97141147408148</v>
      </c>
      <c r="E8" s="31">
        <v>13.933705867153463</v>
      </c>
      <c r="F8" s="31">
        <v>15.184014483677243</v>
      </c>
    </row>
    <row r="9" spans="1:6" x14ac:dyDescent="0.25">
      <c r="A9" s="30">
        <v>0.077797</v>
      </c>
      <c r="B9" s="31">
        <v>9.725097305189998</v>
      </c>
      <c r="C9" s="31">
        <v>10.099158451380541</v>
      </c>
      <c r="D9" s="31">
        <v>10.540854853738766</v>
      </c>
      <c r="E9" s="31">
        <v>11.071412297199192</v>
      </c>
      <c r="F9" s="31">
        <v>11.721975853064322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189335000000</v>
      </c>
      <c r="C5" s="18">
        <v>189185000000</v>
      </c>
      <c r="D5" s="18">
        <v>210130000000</v>
      </c>
      <c r="E5" s="18">
        <v>241392000000</v>
      </c>
      <c r="F5" s="8" t="s">
        <v>84</v>
      </c>
    </row>
    <row r="6" spans="1:6" x14ac:dyDescent="0.25">
      <c r="A6" t="s">
        <v>44</v>
      </c>
      <c r="B6" s="18">
        <v>15808000000</v>
      </c>
      <c r="C6" s="18">
        <v>13615000000</v>
      </c>
      <c r="D6" s="18">
        <v>31049000000</v>
      </c>
      <c r="E6" s="18">
        <v>41447000000</v>
      </c>
      <c r="F6" s="8" t="s">
        <v>85</v>
      </c>
    </row>
    <row r="7" spans="1:6" x14ac:dyDescent="0.25">
      <c r="A7" t="s">
        <v>86</v>
      </c>
      <c r="B7" s="18">
        <v>17822000000</v>
      </c>
      <c r="C7" s="18">
        <v>16622000000</v>
      </c>
      <c r="D7" s="18">
        <v>15928000000</v>
      </c>
      <c r="E7" s="18">
        <v>14318000000</v>
      </c>
      <c r="F7" s="8" t="s">
        <v>87</v>
      </c>
    </row>
    <row r="8" spans="1:6" x14ac:dyDescent="0.25">
      <c r="A8" t="s">
        <v>88</v>
      </c>
      <c r="B8" s="18">
        <v>13221000000</v>
      </c>
      <c r="C8" s="18">
        <v>15297000000</v>
      </c>
      <c r="D8" s="18">
        <v>14285000000</v>
      </c>
      <c r="E8" s="18">
        <v>12069000000</v>
      </c>
      <c r="F8" s="8" t="s">
        <v>89</v>
      </c>
    </row>
    <row r="9" spans="1:6" x14ac:dyDescent="0.25">
      <c r="A9" t="s">
        <v>90</v>
      </c>
      <c r="B9" s="18">
        <v>4820000000</v>
      </c>
      <c r="C9" s="18">
        <v>-3975000000</v>
      </c>
      <c r="D9" s="18">
        <v>3338000000</v>
      </c>
      <c r="E9" s="18">
        <v>6270000000</v>
      </c>
      <c r="F9" s="8" t="s">
        <v>91</v>
      </c>
    </row>
    <row r="10" spans="1:6" x14ac:dyDescent="0.25">
      <c r="A10" t="s">
        <v>92</v>
      </c>
      <c r="B10" s="18">
        <v>72529000000</v>
      </c>
      <c r="C10" s="18">
        <v>71547000000</v>
      </c>
      <c r="D10" s="18">
        <v>63075000000</v>
      </c>
      <c r="E10" s="18">
        <v>55493000000</v>
      </c>
      <c r="F10" s="8" t="s">
        <v>93</v>
      </c>
    </row>
    <row r="11" spans="1:6" x14ac:dyDescent="0.25">
      <c r="A11" t="s">
        <v>94</v>
      </c>
      <c r="B11" s="18">
        <v>36714000000</v>
      </c>
      <c r="C11" s="18">
        <v>34525000000</v>
      </c>
      <c r="D11" s="18">
        <v>28591000000</v>
      </c>
      <c r="E11" s="18">
        <v>23907000000</v>
      </c>
      <c r="F11" s="8" t="s">
        <v>95</v>
      </c>
    </row>
    <row r="12" spans="1:6" x14ac:dyDescent="0.25">
      <c r="A12" t="s">
        <v>32</v>
      </c>
      <c r="B12" s="34">
        <v>15913000000</v>
      </c>
      <c r="C12" s="34">
        <v>16816664000</v>
      </c>
      <c r="D12" s="34">
        <v>17750078000</v>
      </c>
      <c r="E12" s="34">
        <v>18987936000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2026-09-19T00:07:12Z</dcterms:modified>
</cp:coreProperties>
</file>