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<sst xmlns="http://schemas.openxmlformats.org/spreadsheetml/2006/main" count="113" uniqueCount="101">
  <si>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BPER Banca SpA (BPE.MI)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</si>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</sst>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0.1736080462535743</v>
      </c>
    </row>
    <row r="7" spans="1:2" x14ac:dyDescent="0.25">
      <c r="A7" t="s">
        <v>5</v>
      </c>
      <c r="B7" s="6">
        <v>0.3371844446938607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0.05767349296435965</v>
      </c>
    </row>
    <row r="10" spans="1:2" x14ac:dyDescent="0.25">
      <c r="A10" t="s">
        <v>8</v>
      </c>
      <c r="B10" s="6">
        <v>0.06176926801433775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13.303387822680884</v>
      </c>
    </row>
    <row r="14" spans="1:3" x14ac:dyDescent="0.25">
      <c r="A14" t="s">
        <v>12</v>
      </c>
      <c r="B14" s="6">
        <v>0.07168063952296658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0.78627</v>
      </c>
      <c r="C19" s="8" t="s">
        <v>19</v>
      </c>
    </row>
    <row r="20" spans="1:2" x14ac:dyDescent="0.25">
      <c r="A20" t="s">
        <v>20</v>
      </c>
      <c r="B20" s="10">
        <f>B17+B19*B18</f>
        <v>0.09310755000000001</v>
      </c>
    </row>
    <row r="21" spans="1:3" x14ac:dyDescent="0.25">
      <c r="A21" t="s">
        <v>21</v>
      </c>
      <c r="B21" s="6">
        <v>0.061316345393518004</v>
      </c>
      <c r="C21" s="8" t="s">
        <v>22</v>
      </c>
    </row>
    <row r="22" spans="1:2" x14ac:dyDescent="0.25">
      <c r="A22" t="s">
        <v>23</v>
      </c>
      <c r="B22" s="11">
        <v>29822605312</v>
      </c>
    </row>
    <row r="23" spans="1:2" x14ac:dyDescent="0.25">
      <c r="A23" t="s">
        <v>24</v>
      </c>
      <c r="B23" s="11">
        <v>24870464000</v>
      </c>
    </row>
    <row r="24" spans="1:2" x14ac:dyDescent="0.25">
      <c r="A24" t="s">
        <v>25</v>
      </c>
      <c r="B24" s="10">
        <f>B22/(B22+B23)</f>
        <v>0.5452721101073172</v>
      </c>
    </row>
    <row r="25" spans="1:2" x14ac:dyDescent="0.25">
      <c r="A25" t="s">
        <v>26</v>
      </c>
      <c r="B25" s="10">
        <f>1-B24</f>
        <v>0.45472788989268276</v>
      </c>
    </row>
    <row r="26" spans="1:2" x14ac:dyDescent="0.25">
      <c r="A26" t="s">
        <v>27</v>
      </c>
      <c r="B26" s="12">
        <f>B24*B20+B25*B21*(1-B8)</f>
        <v>0.07168063952296658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6973747000</v>
      </c>
      <c r="C29" s="8" t="s">
        <v>30</v>
      </c>
    </row>
    <row r="30" spans="1:2" x14ac:dyDescent="0.25">
      <c r="A30" t="s">
        <v>31</v>
      </c>
      <c r="B30" s="11">
        <v>11694195000</v>
      </c>
    </row>
    <row r="31" spans="1:2" x14ac:dyDescent="0.25">
      <c r="A31" t="s">
        <v>32</v>
      </c>
      <c r="B31" s="13">
        <v>1669831956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0.1736080462535743</v>
      </c>
      <c r="C5" s="10">
        <f>Assumptions!B6</f>
        <v>0.1736080462535743</v>
      </c>
      <c r="D5" s="10">
        <f>Assumptions!B6</f>
        <v>0.1736080462535743</v>
      </c>
      <c r="E5" s="10">
        <f>Assumptions!B6</f>
        <v>0.1736080462535743</v>
      </c>
      <c r="F5" s="10">
        <f>Assumptions!B6</f>
        <v>0.1736080462535743</v>
      </c>
    </row>
    <row r="6" spans="1:6" x14ac:dyDescent="0.25">
      <c r="A6" t="s">
        <v>43</v>
      </c>
      <c r="B6" s="18">
        <f>Assumptions!B29*(1+B5)</f>
        <v>8184445591.736725</v>
      </c>
      <c r="C6" s="18">
        <f>B6*(1+C5)</f>
        <v>9605331200.586817</v>
      </c>
      <c r="D6" s="18">
        <f>C6*(1+D5)</f>
        <v>11272893983.939194</v>
      </c>
      <c r="E6" s="18">
        <f>D6*(1+E5)</f>
        <v>13229959084.114548</v>
      </c>
      <c r="F6" s="18">
        <f>E6*(1+F5)</f>
        <v>15526786432.7224</v>
      </c>
    </row>
    <row r="7" spans="1:6" x14ac:dyDescent="0.25">
      <c r="A7" t="s">
        <v>5</v>
      </c>
      <c r="B7" s="10">
        <f>Assumptions!B7</f>
        <v>0.3371844446938607</v>
      </c>
      <c r="C7" s="10">
        <f>Assumptions!B7</f>
        <v>0.3371844446938607</v>
      </c>
      <c r="D7" s="10">
        <f>Assumptions!B7</f>
        <v>0.3371844446938607</v>
      </c>
      <c r="E7" s="10">
        <f>Assumptions!B7</f>
        <v>0.3371844446938607</v>
      </c>
      <c r="F7" s="10">
        <f>Assumptions!B7</f>
        <v>0.3371844446938607</v>
      </c>
    </row>
    <row r="8" spans="1:6" x14ac:dyDescent="0.25">
      <c r="A8" t="s">
        <v>44</v>
      </c>
      <c r="B8" s="18">
        <f>B6*B7</f>
        <v>2759667741.976864</v>
      </c>
      <c r="C8" s="18">
        <f>C6*C7</f>
        <v>3238768266.9704804</v>
      </c>
      <c r="D8" s="18">
        <f>D6*D7</f>
        <v>3801044498.0673003</v>
      </c>
      <c r="E8" s="18">
        <f>E6*E7</f>
        <v>4460936407.099662</v>
      </c>
      <c r="F8" s="18">
        <f>F6*F7</f>
        <v>5235390861.197673</v>
      </c>
    </row>
    <row r="9" spans="1:6" x14ac:dyDescent="0.25">
      <c r="A9" t="s">
        <v>45</v>
      </c>
      <c r="B9" s="18">
        <f>B8*(1-Assumptions!B8)</f>
        <v>2069750806.482648</v>
      </c>
      <c r="C9" s="18">
        <f>C8*(1-Assumptions!B8)</f>
        <v>2429076200.2278605</v>
      </c>
      <c r="D9" s="18">
        <f>D8*(1-Assumptions!B8)</f>
        <v>2850783373.550475</v>
      </c>
      <c r="E9" s="18">
        <f>E8*(1-Assumptions!B8)</f>
        <v>3345702305.324746</v>
      </c>
      <c r="F9" s="18">
        <f>F8*(1-Assumptions!B8)</f>
        <v>3926543145.8982544</v>
      </c>
    </row>
    <row r="10" spans="1:6" x14ac:dyDescent="0.25">
      <c r="A10" t="s">
        <v>46</v>
      </c>
      <c r="B10" s="18">
        <f>B6*Assumptions!B9</f>
        <v>472025565.25221235</v>
      </c>
      <c r="C10" s="18">
        <f>C6*Assumptions!B9</f>
        <v>553973001.417388</v>
      </c>
      <c r="D10" s="18">
        <f>D6*Assumptions!B9</f>
        <v>650147171.8706893</v>
      </c>
      <c r="E10" s="18">
        <f>E6*Assumptions!B9</f>
        <v>763017952.1564463</v>
      </c>
      <c r="F10" s="18">
        <f>F6*Assumptions!B9</f>
        <v>895484008.0867302</v>
      </c>
    </row>
    <row r="11" spans="1:6" x14ac:dyDescent="0.25">
      <c r="A11" t="s">
        <v>47</v>
      </c>
      <c r="B11" s="18">
        <f>-B6*Assumptions!B10</f>
        <v>-505547213.30475086</v>
      </c>
      <c r="C11" s="18">
        <f>-C6*Assumptions!B10</f>
        <v>-593314277.2955277</v>
      </c>
      <c r="D11" s="18">
        <f>-D6*Assumptions!B10</f>
        <v>-696318409.7911557</v>
      </c>
      <c r="E11" s="18">
        <f>-E6*Assumptions!B10</f>
        <v>-817204888.4853939</v>
      </c>
      <c r="F11" s="18">
        <f>-F6*Assumptions!B10</f>
        <v>-959078232.564213</v>
      </c>
    </row>
    <row r="12" spans="1:6" x14ac:dyDescent="0.25">
      <c r="A12" t="s">
        <v>48</v>
      </c>
      <c r="B12" s="18">
        <f>-(B6-Assumptions!B29)*Assumptions!B11</f>
        <v>-1210698591.7367249</v>
      </c>
      <c r="C12" s="18">
        <f>-(C6-B6)*Assumptions!B11</f>
        <v>-1420885608.850092</v>
      </c>
      <c r="D12" s="18">
        <f>-(D6-C6)*Assumptions!B11</f>
        <v>-1667562783.352377</v>
      </c>
      <c r="E12" s="18">
        <f>-(E6-D6)*Assumptions!B11</f>
        <v>-1957065100.175354</v>
      </c>
      <c r="F12" s="18">
        <f>-(F6-E6)*Assumptions!B11</f>
        <v>-2296827348.607853</v>
      </c>
    </row>
    <row r="13" spans="1:6" x14ac:dyDescent="0.25">
      <c r="A13" s="19" t="s">
        <v>49</v>
      </c>
      <c r="B13" s="20">
        <f>B9+B10+B11+B12</f>
        <v>825530566.6933846</v>
      </c>
      <c r="C13" s="20">
        <f>C9+C10+C11+C12</f>
        <v>968849315.499629</v>
      </c>
      <c r="D13" s="20">
        <f>D9+D10+D11+D12</f>
        <v>1137049352.2776318</v>
      </c>
      <c r="E13" s="20">
        <f>E9+E10+E11+E12</f>
        <v>1334450268.8204446</v>
      </c>
      <c r="F13" s="20">
        <f>F9+F10+F11+F12</f>
        <v>1566121572.8129187</v>
      </c>
    </row>
    <row r="14" spans="1:6" x14ac:dyDescent="0.25">
      <c r="A14" t="s">
        <v>50</v>
      </c>
      <c r="B14" s="21">
        <f>1/(1+Assumptions!$B$26)^(1-0.5*Assumptions!$B$32)</f>
        <v>0.965978160033864</v>
      </c>
      <c r="C14" s="21">
        <f>1/(1+Assumptions!$B$26)^(2-0.5*Assumptions!$B$32)</f>
        <v>0.9013675570959708</v>
      </c>
      <c r="D14" s="21">
        <f>1/(1+Assumptions!$B$26)^(3-0.5*Assumptions!$B$32)</f>
        <v>0.8410785115024503</v>
      </c>
      <c r="E14" s="21">
        <f>1/(1+Assumptions!$B$26)^(4-0.5*Assumptions!$B$32)</f>
        <v>0.784821970728926</v>
      </c>
      <c r="F14" s="21">
        <f>1/(1+Assumptions!$B$26)^(5-0.5*Assumptions!$B$32)</f>
        <v>0.7323282158743402</v>
      </c>
    </row>
    <row r="15" spans="1:6" x14ac:dyDescent="0.25">
      <c r="A15" s="19" t="s">
        <v>51</v>
      </c>
      <c r="B15" s="20">
        <f>B13*B14</f>
        <v>797444497.8661888</v>
      </c>
      <c r="C15" s="20">
        <f>C13*C14</f>
        <v>873289340.7060041</v>
      </c>
      <c r="D15" s="20">
        <f>D13*D14</f>
        <v>956347776.7184957</v>
      </c>
      <c r="E15" s="20">
        <f>E13*E14</f>
        <v>1047305889.8154064</v>
      </c>
      <c r="F15" s="20">
        <f>F13*F14</f>
        <v>1146915017.2604003</v>
      </c>
    </row>
    <row r="17" spans="1:2" x14ac:dyDescent="0.25">
      <c r="A17" s="22" t="s">
        <v>52</v>
      </c>
      <c r="B17" s="23">
        <f>SUM(B15:F15)</f>
        <v>4821302522.366495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1566121572.8129187</v>
      </c>
    </row>
    <row r="5" spans="1:2" x14ac:dyDescent="0.25">
      <c r="A5" t="s">
        <v>56</v>
      </c>
      <c r="B5" s="18">
        <f>IF(Assumptions!$B$33=0,B4,B4-Forecast!F11-Forecast!F10-Forecast!F12)</f>
        <v>3926543145.8982544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0.348769209738844</v>
      </c>
    </row>
    <row r="7" spans="1:2" x14ac:dyDescent="0.25">
      <c r="A7" t="s">
        <v>58</v>
      </c>
      <c r="B7" s="18">
        <f>-MAX(Forecast!F9,0)*B6</f>
        <v>-1369457350.0004086</v>
      </c>
    </row>
    <row r="8" spans="1:2" x14ac:dyDescent="0.25">
      <c r="A8" t="s">
        <v>59</v>
      </c>
      <c r="B8" s="18">
        <f>IF(OR(Assumptions!$B$33=0,Assumptions!B12&lt;=0),B5,MAX(B5+B7,0))</f>
        <v>2557085795.8978457</v>
      </c>
    </row>
    <row r="9" spans="1:2" x14ac:dyDescent="0.25">
      <c r="A9" t="s">
        <v>60</v>
      </c>
      <c r="B9" s="18">
        <f>B8*(1+Assumptions!B12)/(Assumptions!B26-Assumptions!B12)</f>
        <v>56147751350.01674</v>
      </c>
    </row>
    <row r="10" spans="1:2" x14ac:dyDescent="0.25">
      <c r="A10" t="s">
        <v>61</v>
      </c>
      <c r="B10" s="18">
        <f>B9/(1+Assumptions!B26)^(5-0.5*Assumptions!B32)</f>
        <v>41118582571.51383</v>
      </c>
    </row>
    <row r="11" spans="1:2" x14ac:dyDescent="0.25">
      <c r="A11" t="s">
        <v>62</v>
      </c>
      <c r="B11" s="18">
        <f>Forecast!B17+B10</f>
        <v>45939885093.880325</v>
      </c>
    </row>
    <row r="12" spans="1:2" x14ac:dyDescent="0.25">
      <c r="A12" t="s">
        <v>63</v>
      </c>
      <c r="B12" s="18">
        <f>-Assumptions!B30</f>
        <v>-11694195000</v>
      </c>
    </row>
    <row r="13" spans="1:2" x14ac:dyDescent="0.25">
      <c r="A13" t="s">
        <v>64</v>
      </c>
      <c r="B13" s="18">
        <f>B11+B12</f>
        <v>34245690093.880325</v>
      </c>
    </row>
    <row r="14" spans="1:2" x14ac:dyDescent="0.25">
      <c r="A14" s="19" t="s">
        <v>65</v>
      </c>
      <c r="B14" s="24">
        <f>B13/Assumptions!B31</f>
        <v>20.508464921173378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6130874869.284403</v>
      </c>
    </row>
    <row r="18" spans="1:2" x14ac:dyDescent="0.25">
      <c r="A18" t="s">
        <v>60</v>
      </c>
      <c r="B18" s="18">
        <f>B17*Assumptions!B13</f>
        <v>81561406078.41838</v>
      </c>
    </row>
    <row r="19" spans="1:2" x14ac:dyDescent="0.25">
      <c r="A19" t="s">
        <v>61</v>
      </c>
      <c r="B19" s="18">
        <f>B18/(1+Assumptions!B26)^(5-0.5*Assumptions!B32)</f>
        <v>59729718997.610695</v>
      </c>
    </row>
    <row r="20" spans="1:2" x14ac:dyDescent="0.25">
      <c r="A20" t="s">
        <v>62</v>
      </c>
      <c r="B20" s="18">
        <f>Forecast!B17+B19</f>
        <v>64551021519.97719</v>
      </c>
    </row>
    <row r="21" spans="1:2" x14ac:dyDescent="0.25">
      <c r="A21" t="s">
        <v>63</v>
      </c>
      <c r="B21" s="18">
        <f>-Assumptions!B30</f>
        <v>-11694195000</v>
      </c>
    </row>
    <row r="22" spans="1:2" x14ac:dyDescent="0.25">
      <c r="A22" t="s">
        <v>64</v>
      </c>
      <c r="B22" s="18">
        <f>B20+B21</f>
        <v>52856826519.97719</v>
      </c>
    </row>
    <row r="23" spans="1:2" x14ac:dyDescent="0.25">
      <c r="A23" s="19" t="s">
        <v>65</v>
      </c>
      <c r="B23" s="25">
        <f>B22/Assumptions!B31</f>
        <v>31.653979509766422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14.202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20.508464921173378</v>
      </c>
    </row>
    <row r="29" spans="1:2" x14ac:dyDescent="0.25">
      <c r="A29" s="19" t="s">
        <v>73</v>
      </c>
      <c r="B29" s="12">
        <f>B28/B26-1</f>
        <v>0.44405470505375133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0.051681</v>
      </c>
      <c r="B5" s="31">
        <v>32.84715997044596</v>
      </c>
      <c r="C5" s="31">
        <v>33.02850204358084</v>
      </c>
      <c r="D5" s="31">
        <v>33.209844116715736</v>
      </c>
      <c r="E5" s="31">
        <v>33.39118618985062</v>
      </c>
      <c r="F5" s="31">
        <v>33.57252826298552</v>
      </c>
    </row>
    <row r="6" spans="1:6" x14ac:dyDescent="0.25">
      <c r="A6" s="30">
        <v>0.061681</v>
      </c>
      <c r="B6" s="31">
        <v>25.516099167181704</v>
      </c>
      <c r="C6" s="31">
        <v>25.66170641751972</v>
      </c>
      <c r="D6" s="31">
        <v>25.807313667857727</v>
      </c>
      <c r="E6" s="31">
        <v>25.95292091819575</v>
      </c>
      <c r="F6" s="31">
        <v>26.098528168533747</v>
      </c>
    </row>
    <row r="7" spans="1:6" x14ac:dyDescent="0.25">
      <c r="A7" s="30">
        <v>0.071681</v>
      </c>
      <c r="B7" s="31">
        <v>20.268064894565846</v>
      </c>
      <c r="C7" s="31">
        <v>20.388183052895595</v>
      </c>
      <c r="D7" s="32">
        <v>20.508301211225326</v>
      </c>
      <c r="E7" s="31">
        <v>20.62841936955507</v>
      </c>
      <c r="F7" s="31">
        <v>20.748537527884807</v>
      </c>
    </row>
    <row r="8" spans="1:6" x14ac:dyDescent="0.25">
      <c r="A8" s="30">
        <v>0.081681</v>
      </c>
      <c r="B8" s="31">
        <v>16.336089843032426</v>
      </c>
      <c r="C8" s="31">
        <v>16.4371872830259</v>
      </c>
      <c r="D8" s="31">
        <v>16.538284723019366</v>
      </c>
      <c r="E8" s="31">
        <v>16.639382163012844</v>
      </c>
      <c r="F8" s="31">
        <v>16.740479603006303</v>
      </c>
    </row>
    <row r="9" spans="1:6" x14ac:dyDescent="0.25">
      <c r="A9" s="30">
        <v>0.091681</v>
      </c>
      <c r="B9" s="31">
        <v>13.287944313989303</v>
      </c>
      <c r="C9" s="31">
        <v>13.37436095585772</v>
      </c>
      <c r="D9" s="31">
        <v>13.460777597726134</v>
      </c>
      <c r="E9" s="31">
        <v>13.54719423959455</v>
      </c>
      <c r="F9" s="31">
        <v>13.63361088146296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6973747000</v>
      </c>
      <c r="C5" s="18">
        <v>5988370000</v>
      </c>
      <c r="D5" s="18">
        <v>5875090000</v>
      </c>
      <c r="E5" s="18">
        <v>4314167000</v>
      </c>
      <c r="F5" s="8" t="s">
        <v>84</v>
      </c>
    </row>
    <row r="6" spans="1:6" x14ac:dyDescent="0.25">
      <c r="A6" t="s">
        <v>44</v>
      </c>
      <c r="B6" s="18">
        <v>2722819000</v>
      </c>
      <c r="C6" s="18">
        <v>2053980000</v>
      </c>
      <c r="D6" s="18">
        <v>1724643000</v>
      </c>
      <c r="E6" s="18">
        <v>1388095000</v>
      </c>
      <c r="F6" s="8" t="s">
        <v>85</v>
      </c>
    </row>
    <row r="7" spans="1:6" x14ac:dyDescent="0.25">
      <c r="A7" t="s">
        <v>86</v>
      </c>
      <c r="B7" s="18">
        <v>397950000</v>
      </c>
      <c r="C7" s="18">
        <v>364645000</v>
      </c>
      <c r="D7" s="18">
        <v>311220000</v>
      </c>
      <c r="E7" s="18">
        <v>257836000</v>
      </c>
      <c r="F7" s="8" t="s">
        <v>87</v>
      </c>
    </row>
    <row r="8" spans="1:6" x14ac:dyDescent="0.25">
      <c r="A8" t="s">
        <v>88</v>
      </c>
      <c r="B8" s="18">
        <v>312321000</v>
      </c>
      <c r="C8" s="18">
        <v>358097000</v>
      </c>
      <c r="D8" s="18">
        <v>381516000</v>
      </c>
      <c r="E8" s="18">
        <v>334586000</v>
      </c>
      <c r="F8" s="8" t="s">
        <v>89</v>
      </c>
    </row>
    <row r="9" spans="1:6" x14ac:dyDescent="0.25">
      <c r="A9" t="s">
        <v>90</v>
      </c>
      <c r="B9" s="18">
        <v>-13773000</v>
      </c>
      <c r="C9" s="18">
        <v>5514246000</v>
      </c>
      <c r="D9" s="18">
        <v>6521654000</v>
      </c>
      <c r="E9" s="18">
        <v>-10927603000</v>
      </c>
      <c r="F9" s="8" t="s">
        <v>91</v>
      </c>
    </row>
    <row r="10" spans="1:6" x14ac:dyDescent="0.25">
      <c r="A10" t="s">
        <v>92</v>
      </c>
      <c r="B10" s="18">
        <v>24870464000</v>
      </c>
      <c r="C10" s="18">
        <v>19868569000</v>
      </c>
      <c r="D10" s="18">
        <v>17964077000</v>
      </c>
      <c r="E10" s="18">
        <v>10024342000</v>
      </c>
      <c r="F10" s="8" t="s">
        <v>93</v>
      </c>
    </row>
    <row r="11" spans="1:6" x14ac:dyDescent="0.25">
      <c r="A11" t="s">
        <v>94</v>
      </c>
      <c r="B11" s="18">
        <v>13176269000</v>
      </c>
      <c r="C11" s="18">
        <v>8991837000</v>
      </c>
      <c r="D11" s="18">
        <v>11195971000</v>
      </c>
      <c r="E11" s="18">
        <v>15434129000</v>
      </c>
      <c r="F11" s="8" t="s">
        <v>95</v>
      </c>
    </row>
    <row r="12" spans="1:6" x14ac:dyDescent="0.25">
      <c r="A12" t="s">
        <v>32</v>
      </c>
      <c r="B12" s="34">
        <v>1669831956</v>
      </c>
      <c r="C12" s="34">
        <v>1415511825</v>
      </c>
      <c r="D12" s="34">
        <v>1450441563</v>
      </c>
      <c r="E12" s="34">
        <v>1447626529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2026-09-19T00:07:52Z</dcterms:modified>
</cp:coreProperties>
</file>