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<sst xmlns="http://schemas.openxmlformats.org/spreadsheetml/2006/main" count="116" uniqueCount="104">
  <si>
    <t>Beach Energy Limited (BPT.AX)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</si>
  <si>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</si>
  <si>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</si>
  <si>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</si>
  <si>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</si>
  <si>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</si>
  <si>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</si>
  <si>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</si>
  <si>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</si>
  <si>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</si>
  <si>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</si>
  <si>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</si>
  <si>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</si>
  <si>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</si>
  <si>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</si>
  <si>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</si>
  <si>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</si>
  <si>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</si>
  <si>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</si>
  <si>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</si>
  <si>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</si>
  <si>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</si>
  <si>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</si>
  <si>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</si>
  <si>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</si>
  <si>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</si>
  <si>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</si>
  <si>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</si>
  <si>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</si>
  <si>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</si>
  <si>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</si>
  <si>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</si>
  <si>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</si>
  <si>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</si>
  <si>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</si>
  <si>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</si>
  <si>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</si>
  <si>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</si>
  <si>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</si>
  <si>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</si>
  <si>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</si>
  <si>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</si>
  <si>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</si>
  <si>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</si>
  <si>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</si>
  <si>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</si>
  <si>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</si>
  <si>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</si>
  <si>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</si>
  <si>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</si>
  <si>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</si>
  <si>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</si>
  <si>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</si>
  <si>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</si>
  <si>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</si>
  <si>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</si>
  <si>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</si>
  <si>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</si>
  <si>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</si>
  <si>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</si>
  <si>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</si>
  <si>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</si>
  <si>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</si>
  <si>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</si>
  <si>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</si>
  <si>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</si>
  <si>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</si>
  <si>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</si>
  <si>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</si>
  <si>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</si>
  <si>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</si>
  <si>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</si>
  <si>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</si>
  <si>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</si>
  <si>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</si>
  <si>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</si>
  <si>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</si>
  <si>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</si>
  <si>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</si>
  <si>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</si>
  <si>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</si>
  <si>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</si>
  <si>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</si>
  <si>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</si>
  <si>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</si>
  <si>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</si>
  <si>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</si>
  <si>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</si>
  <si>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</si>
  <si>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</si>
  <si>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</si>
  <si>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</si>
  <si>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</si>
  <si>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</si>
  <si>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</si>
  <si>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</si>
  <si>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</si>
  <si>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</si>
  <si>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</si>
  <si>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Adjusted: Some line items were not reported and have been derived. Each one is labelled in the workings below.</t>
  </si>
  <si>
    <t>Adjusted: Free cashflow is negative in at least one forecast year, so terminal value carries most of the valuation.</t>
  </si>
  <si>
    <t>Adjusted: Capital expenditure runs at 52.5% of revenue against depreciation of 12.2%. A perpetuity has to be a steady state, so the terminal year uses maintenance capex at depreciation and then charges the reinvestment terminal growth requires (g/ROIC of NOPAT). The bridge is shown under Terminal Value.</t>
  </si>
  <si>
    <t>No usable EV/EBITDA (EBITDA is not positive), so the exit multiple falls back to 8x.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</si>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</sst>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0.05916382415129151</v>
      </c>
    </row>
    <row r="7" spans="1:2" x14ac:dyDescent="0.25">
      <c r="A7" t="s">
        <v>5</v>
      </c>
      <c r="B7" s="6">
        <v>0.15161033214508493</v>
      </c>
    </row>
    <row r="8" spans="1:2" x14ac:dyDescent="0.25">
      <c r="A8" t="s">
        <v>6</v>
      </c>
      <c r="B8" s="6">
        <v>0.29230336920760724</v>
      </c>
    </row>
    <row r="9" spans="1:2" x14ac:dyDescent="0.25">
      <c r="A9" t="s">
        <v>7</v>
      </c>
      <c r="B9" s="6">
        <v>0.122234159435292</v>
      </c>
    </row>
    <row r="10" spans="1:2" x14ac:dyDescent="0.25">
      <c r="A10" t="s">
        <v>8</v>
      </c>
      <c r="B10" s="6">
        <v>0.5253853143175191</v>
      </c>
    </row>
    <row r="11" spans="1:2" x14ac:dyDescent="0.25">
      <c r="A11" t="s">
        <v>9</v>
      </c>
      <c r="B11" s="6">
        <v>0.7283120376597175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0.07351386376336799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0.32798999999999995</v>
      </c>
      <c r="C19" s="8" t="s">
        <v>19</v>
      </c>
    </row>
    <row r="20" spans="1:2" x14ac:dyDescent="0.25">
      <c r="A20" t="s">
        <v>20</v>
      </c>
      <c r="B20" s="10">
        <f>B17+B19*B18</f>
        <v>0.0731594</v>
      </c>
    </row>
    <row r="21" spans="1:3" x14ac:dyDescent="0.25">
      <c r="A21" t="s">
        <v>21</v>
      </c>
      <c r="B21" s="6">
        <v>0.09835520850639641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632300000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0.06960564968086003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1921200000</v>
      </c>
      <c r="C29" s="8" t="s">
        <v>30</v>
      </c>
    </row>
    <row r="30" spans="1:2" x14ac:dyDescent="0.25">
      <c r="A30" t="s">
        <v>31</v>
      </c>
      <c r="B30" s="11">
        <v>419300000</v>
      </c>
    </row>
    <row r="31" spans="1:2" x14ac:dyDescent="0.25">
      <c r="A31" t="s">
        <v>32</v>
      </c>
      <c r="B31" s="13">
        <v>2284090909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0.05916382415129151</v>
      </c>
      <c r="C5" s="10">
        <f>Assumptions!B6</f>
        <v>0.05916382415129151</v>
      </c>
      <c r="D5" s="10">
        <f>Assumptions!B6</f>
        <v>0.05916382415129151</v>
      </c>
      <c r="E5" s="10">
        <f>Assumptions!B6</f>
        <v>0.05916382415129151</v>
      </c>
      <c r="F5" s="10">
        <f>Assumptions!B6</f>
        <v>0.05916382415129151</v>
      </c>
    </row>
    <row r="6" spans="1:6" x14ac:dyDescent="0.25">
      <c r="A6" t="s">
        <v>43</v>
      </c>
      <c r="B6" s="18">
        <f>Assumptions!B29*(1+B5)</f>
        <v>2034865538.9594612</v>
      </c>
      <c r="C6" s="18">
        <f>B6*(1+C5)</f>
        <v>2155255965.8779817</v>
      </c>
      <c r="D6" s="18">
        <f>C6*(1+D5)</f>
        <v>2282769150.8442087</v>
      </c>
      <c r="E6" s="18">
        <f>D6*(1+E5)</f>
        <v>2417826503.4627485</v>
      </c>
      <c r="F6" s="18">
        <f>E6*(1+F5)</f>
        <v>2560874365.5419507</v>
      </c>
    </row>
    <row r="7" spans="1:6" x14ac:dyDescent="0.25">
      <c r="A7" t="s">
        <v>5</v>
      </c>
      <c r="B7" s="10">
        <f>Assumptions!B7</f>
        <v>0.15161033214508493</v>
      </c>
      <c r="C7" s="10">
        <f>Assumptions!B7</f>
        <v>0.15161033214508493</v>
      </c>
      <c r="D7" s="10">
        <f>Assumptions!B7</f>
        <v>0.15161033214508493</v>
      </c>
      <c r="E7" s="10">
        <f>Assumptions!B7</f>
        <v>0.15161033214508493</v>
      </c>
      <c r="F7" s="10">
        <f>Assumptions!B7</f>
        <v>0.15161033214508493</v>
      </c>
    </row>
    <row r="8" spans="1:6" x14ac:dyDescent="0.25">
      <c r="A8" t="s">
        <v>44</v>
      </c>
      <c r="B8" s="18">
        <f>B6*B7</f>
        <v>308506640.2322312</v>
      </c>
      <c r="C8" s="18">
        <f>C6*C7</f>
        <v>326759072.84443665</v>
      </c>
      <c r="D8" s="18">
        <f>D6*D7</f>
        <v>346091389.17004395</v>
      </c>
      <c r="E8" s="18">
        <f>E6*E7</f>
        <v>366567479.2591767</v>
      </c>
      <c r="F8" s="18">
        <f>F6*F7</f>
        <v>388255013.14164877</v>
      </c>
    </row>
    <row r="9" spans="1:6" x14ac:dyDescent="0.25">
      <c r="A9" t="s">
        <v>45</v>
      </c>
      <c r="B9" s="18">
        <f>B8*(1-Assumptions!B8)</f>
        <v>218329109.86943087</v>
      </c>
      <c r="C9" s="18">
        <f>C8*(1-Assumptions!B8)</f>
        <v>231246294.93285385</v>
      </c>
      <c r="D9" s="18">
        <f>D8*(1-Assumptions!B8)</f>
        <v>244927710.06189892</v>
      </c>
      <c r="E9" s="18">
        <f>E8*(1-Assumptions!B8)</f>
        <v>259418570.02977964</v>
      </c>
      <c r="F9" s="18">
        <f>F8*(1-Assumptions!B8)</f>
        <v>274766764.688601</v>
      </c>
    </row>
    <row r="10" spans="1:6" x14ac:dyDescent="0.25">
      <c r="A10" t="s">
        <v>46</v>
      </c>
      <c r="B10" s="18">
        <f>B6*Assumptions!B9</f>
        <v>248730078.71855217</v>
      </c>
      <c r="C10" s="18">
        <f>C6*Assumptions!B9</f>
        <v>263445901.35699347</v>
      </c>
      <c r="D10" s="18">
        <f>D6*Assumptions!B9</f>
        <v>279032368.33825713</v>
      </c>
      <c r="E10" s="18">
        <f>E6*Assumptions!B9</f>
        <v>295540990.3111402</v>
      </c>
      <c r="F10" s="18">
        <f>F6*Assumptions!B9</f>
        <v>313026325.49140704</v>
      </c>
    </row>
    <row r="11" spans="1:6" x14ac:dyDescent="0.25">
      <c r="A11" t="s">
        <v>47</v>
      </c>
      <c r="B11" s="18">
        <f>-B6*Assumptions!B10</f>
        <v>-1069088470.7801045</v>
      </c>
      <c r="C11" s="18">
        <f>-C6*Assumptions!B10</f>
        <v>-1132339833.0675116</v>
      </c>
      <c r="D11" s="18">
        <f>-D6*Assumptions!B10</f>
        <v>-1199333387.8306208</v>
      </c>
      <c r="E11" s="18">
        <f>-E6*Assumptions!B10</f>
        <v>-1270290537.4870043</v>
      </c>
      <c r="F11" s="18">
        <f>-F6*Assumptions!B10</f>
        <v>-1345445783.467935</v>
      </c>
    </row>
    <row r="12" spans="1:6" x14ac:dyDescent="0.25">
      <c r="A12" t="s">
        <v>48</v>
      </c>
      <c r="B12" s="18">
        <f>-(B6-Assumptions!B29)*Assumptions!B11</f>
        <v>-82783980.2912552</v>
      </c>
      <c r="C12" s="18">
        <f>-(C6-B6)*Assumptions!B11</f>
        <v>-87681797.14375094</v>
      </c>
      <c r="D12" s="18">
        <f>-(D6-C6)*Assumptions!B11</f>
        <v>-92869387.57123329</v>
      </c>
      <c r="E12" s="18">
        <f>-(E6-D6)*Assumptions!B11</f>
        <v>-98363895.68653572</v>
      </c>
      <c r="F12" s="18">
        <f>-(F6-E6)*Assumptions!B11</f>
        <v>-104183479.91376998</v>
      </c>
    </row>
    <row r="13" spans="1:6" x14ac:dyDescent="0.25">
      <c r="A13" s="19" t="s">
        <v>49</v>
      </c>
      <c r="B13" s="20">
        <f>B9+B10+B11+B12</f>
        <v>-684813262.4833767</v>
      </c>
      <c r="C13" s="20">
        <f>C9+C10+C11+C12</f>
        <v>-725329433.9214151</v>
      </c>
      <c r="D13" s="20">
        <f>D9+D10+D11+D12</f>
        <v>-768242697.001698</v>
      </c>
      <c r="E13" s="20">
        <f>E9+E10+E11+E12</f>
        <v>-813694872.8326201</v>
      </c>
      <c r="F13" s="20">
        <f>F9+F10+F11+F12</f>
        <v>-861836173.201697</v>
      </c>
    </row>
    <row r="14" spans="1:6" x14ac:dyDescent="0.25">
      <c r="A14" t="s">
        <v>50</v>
      </c>
      <c r="B14" s="21">
        <f>1/(1+Assumptions!$B$26)^(1-0.5*Assumptions!$B$32)</f>
        <v>0.9669146844911606</v>
      </c>
      <c r="C14" s="21">
        <f>1/(1+Assumptions!$B$26)^(2-0.5*Assumptions!$B$32)</f>
        <v>0.9039917513334569</v>
      </c>
      <c r="D14" s="21">
        <f>1/(1+Assumptions!$B$26)^(3-0.5*Assumptions!$B$32)</f>
        <v>0.8451635905281377</v>
      </c>
      <c r="E14" s="21">
        <f>1/(1+Assumptions!$B$26)^(4-0.5*Assumptions!$B$32)</f>
        <v>0.7901637306986089</v>
      </c>
      <c r="F14" s="21">
        <f>1/(1+Assumptions!$B$26)^(5-0.5*Assumptions!$B$32)</f>
        <v>0.7387430413576924</v>
      </c>
    </row>
    <row r="15" spans="1:6" x14ac:dyDescent="0.25">
      <c r="A15" s="19" t="s">
        <v>51</v>
      </c>
      <c r="B15" s="20">
        <f>B13*B14</f>
        <v>-662155999.6294765</v>
      </c>
      <c r="C15" s="20">
        <f>C13*C14</f>
        <v>-655691825.2643249</v>
      </c>
      <c r="D15" s="20">
        <f>D13*D14</f>
        <v>-649290756.1949753</v>
      </c>
      <c r="E15" s="20">
        <f>E13*E14</f>
        <v>-642952176.3677533</v>
      </c>
      <c r="F15" s="20">
        <f>F13*F14</f>
        <v>-636675475.7430966</v>
      </c>
    </row>
    <row r="17" spans="1:2" x14ac:dyDescent="0.25">
      <c r="A17" s="22" t="s">
        <v>52</v>
      </c>
      <c r="B17" s="23">
        <f>SUM(B15:F15)</f>
        <v>-3246766233.199626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-861836173.201697</v>
      </c>
    </row>
    <row r="5" spans="1:2" x14ac:dyDescent="0.25">
      <c r="A5" t="s">
        <v>56</v>
      </c>
      <c r="B5" s="18">
        <f>IF(Assumptions!$B$33=0,B4,B4-Forecast!F11-Forecast!F10-Forecast!F12)</f>
        <v>274766764.688601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0.3400719091635817</v>
      </c>
    </row>
    <row r="7" spans="1:2" x14ac:dyDescent="0.25">
      <c r="A7" t="s">
        <v>58</v>
      </c>
      <c r="B7" s="18">
        <f>-MAX(Forecast!F9,0)*B6</f>
        <v>-93440458.24235316</v>
      </c>
    </row>
    <row r="8" spans="1:2" x14ac:dyDescent="0.25">
      <c r="A8" t="s">
        <v>59</v>
      </c>
      <c r="B8" s="18">
        <f>IF(OR(Assumptions!$B$33=0,Assumptions!B12&lt;=0),B5,MAX(B5+B7,0))</f>
        <v>181326306.44624788</v>
      </c>
    </row>
    <row r="9" spans="1:2" x14ac:dyDescent="0.25">
      <c r="A9" t="s">
        <v>60</v>
      </c>
      <c r="B9" s="18">
        <f>B8*(1+Assumptions!B12)/(Assumptions!B26-Assumptions!B12)</f>
        <v>4166724740.8606863</v>
      </c>
    </row>
    <row r="10" spans="1:2" x14ac:dyDescent="0.25">
      <c r="A10" t="s">
        <v>61</v>
      </c>
      <c r="B10" s="18">
        <f>B9/(1+Assumptions!B26)^(5-0.5*Assumptions!B32)</f>
        <v>3078138907.563766</v>
      </c>
    </row>
    <row r="11" spans="1:2" x14ac:dyDescent="0.25">
      <c r="A11" t="s">
        <v>62</v>
      </c>
      <c r="B11" s="18">
        <f>Forecast!B17+B10</f>
        <v>-168627325.63585997</v>
      </c>
    </row>
    <row r="12" spans="1:2" x14ac:dyDescent="0.25">
      <c r="A12" t="s">
        <v>63</v>
      </c>
      <c r="B12" s="18">
        <f>-Assumptions!B30</f>
        <v>-419300000</v>
      </c>
    </row>
    <row r="13" spans="1:2" x14ac:dyDescent="0.25">
      <c r="A13" t="s">
        <v>64</v>
      </c>
      <c r="B13" s="18">
        <f>B11+B12</f>
        <v>-587927325.63586</v>
      </c>
    </row>
    <row r="14" spans="1:2" x14ac:dyDescent="0.25">
      <c r="A14" s="19" t="s">
        <v>65</v>
      </c>
      <c r="B14" s="24">
        <f>B13/Assumptions!B31</f>
        <v>-0.257401018199079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701281338.6330558</v>
      </c>
    </row>
    <row r="18" spans="1:2" x14ac:dyDescent="0.25">
      <c r="A18" t="s">
        <v>60</v>
      </c>
      <c r="B18" s="18">
        <f>B17*Assumptions!B13</f>
        <v>5610250709.064446</v>
      </c>
    </row>
    <row r="19" spans="1:2" x14ac:dyDescent="0.25">
      <c r="A19" t="s">
        <v>61</v>
      </c>
      <c r="B19" s="18">
        <f>B18/(1+Assumptions!B26)^(5-0.5*Assumptions!B32)</f>
        <v>4144533671.5934196</v>
      </c>
    </row>
    <row r="20" spans="1:2" x14ac:dyDescent="0.25">
      <c r="A20" t="s">
        <v>62</v>
      </c>
      <c r="B20" s="18">
        <f>Forecast!B17+B19</f>
        <v>897767438.3937936</v>
      </c>
    </row>
    <row r="21" spans="1:2" x14ac:dyDescent="0.25">
      <c r="A21" t="s">
        <v>63</v>
      </c>
      <c r="B21" s="18">
        <f>-Assumptions!B30</f>
        <v>-419300000</v>
      </c>
    </row>
    <row r="22" spans="1:2" x14ac:dyDescent="0.25">
      <c r="A22" t="s">
        <v>64</v>
      </c>
      <c r="B22" s="18">
        <f>B20+B21</f>
        <v>478467438.3937936</v>
      </c>
    </row>
    <row r="23" spans="1:2" x14ac:dyDescent="0.25">
      <c r="A23" s="19" t="s">
        <v>65</v>
      </c>
      <c r="B23" s="25">
        <f>B22/Assumptions!B31</f>
        <v>0.2094782814941774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0.87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-0.257401018199079</v>
      </c>
    </row>
    <row r="29" spans="1:2" x14ac:dyDescent="0.25">
      <c r="A29" s="19" t="s">
        <v>73</v>
      </c>
      <c r="B29" s="12">
        <f>B28/B26-1</f>
        <v>-1.2958632393092862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0.049606</v>
      </c>
      <c r="B5" s="31">
        <v>0.584878921525285</v>
      </c>
      <c r="C5" s="31">
        <v>0.7526234404399483</v>
      </c>
      <c r="D5" s="31">
        <v>0.985865971314552</v>
      </c>
      <c r="E5" s="31">
        <v>1.3347172037032697</v>
      </c>
      <c r="F5" s="31">
        <v>1.9179044087762869</v>
      </c>
    </row>
    <row r="6" spans="1:6" x14ac:dyDescent="0.25">
      <c r="A6" s="30">
        <v>0.059606</v>
      </c>
      <c r="B6" s="31">
        <v>0.04037019734624879</v>
      </c>
      <c r="C6" s="31">
        <v>0.09927138891389144</v>
      </c>
      <c r="D6" s="31">
        <v>0.17337108651954683</v>
      </c>
      <c r="E6" s="31">
        <v>0.27036967490178854</v>
      </c>
      <c r="F6" s="31">
        <v>0.40422648762352054</v>
      </c>
    </row>
    <row r="7" spans="1:6" x14ac:dyDescent="0.25">
      <c r="A7" s="30">
        <v>0.069606</v>
      </c>
      <c r="B7" s="31">
        <v>-0.2902455325333855</v>
      </c>
      <c r="C7" s="31">
        <v>-0.27487444858425636</v>
      </c>
      <c r="D7" s="32">
        <v>-0.25741243352409654</v>
      </c>
      <c r="E7" s="31">
        <v>-0.23706758797741956</v>
      </c>
      <c r="F7" s="31">
        <v>-0.21259034662902684</v>
      </c>
    </row>
    <row r="8" spans="1:6" x14ac:dyDescent="0.25">
      <c r="A8" s="30">
        <v>0.079606</v>
      </c>
      <c r="B8" s="31">
        <v>-0.4861096733933184</v>
      </c>
      <c r="C8" s="31">
        <v>-0.480756870963207</v>
      </c>
      <c r="D8" s="31">
        <v>-0.4754040685330959</v>
      </c>
      <c r="E8" s="31">
        <v>-0.4700512661029846</v>
      </c>
      <c r="F8" s="31">
        <v>-0.46469846367287343</v>
      </c>
    </row>
    <row r="9" spans="1:6" x14ac:dyDescent="0.25">
      <c r="A9" s="30">
        <v>0.089606</v>
      </c>
      <c r="B9" s="31">
        <v>-0.6155490568410371</v>
      </c>
      <c r="C9" s="31">
        <v>-0.6109868912881767</v>
      </c>
      <c r="D9" s="31">
        <v>-0.6064247257353166</v>
      </c>
      <c r="E9" s="31">
        <v>-0.6018625601824564</v>
      </c>
      <c r="F9" s="31">
        <v>-0.5973003946295963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1921200000</v>
      </c>
      <c r="C5" s="18">
        <v>2106000000</v>
      </c>
      <c r="D5" s="18">
        <v>1765600000</v>
      </c>
      <c r="E5" s="18">
        <v>1616900000</v>
      </c>
      <c r="F5" s="8" t="s">
        <v>84</v>
      </c>
    </row>
    <row r="6" spans="1:6" x14ac:dyDescent="0.25">
      <c r="A6" t="s">
        <v>44</v>
      </c>
      <c r="B6" s="18">
        <v>402100000</v>
      </c>
      <c r="C6" s="18">
        <v>-28700000</v>
      </c>
      <c r="D6" s="18">
        <v>146300000</v>
      </c>
      <c r="E6" s="18">
        <v>530200000</v>
      </c>
      <c r="F6" s="8" t="s">
        <v>85</v>
      </c>
    </row>
    <row r="7" spans="1:6" x14ac:dyDescent="0.25">
      <c r="A7" t="s">
        <v>86</v>
      </c>
      <c r="B7" s="18">
        <v>481600000</v>
      </c>
      <c r="C7" s="18">
        <v>452000000</v>
      </c>
      <c r="D7" s="18">
        <v>20000000</v>
      </c>
      <c r="E7" s="18">
        <v>19900000</v>
      </c>
      <c r="F7" s="8" t="s">
        <v>87</v>
      </c>
    </row>
    <row r="8" spans="1:6" x14ac:dyDescent="0.25">
      <c r="A8" t="s">
        <v>88</v>
      </c>
      <c r="B8" s="18">
        <v>734200000</v>
      </c>
      <c r="C8" s="18">
        <v>792600000</v>
      </c>
      <c r="D8" s="18">
        <v>1093000000</v>
      </c>
      <c r="E8" s="18">
        <v>1170600000</v>
      </c>
      <c r="F8" s="8" t="s">
        <v>89</v>
      </c>
    </row>
    <row r="9" spans="1:6" x14ac:dyDescent="0.25">
      <c r="A9" t="s">
        <v>90</v>
      </c>
      <c r="B9" s="18">
        <v>-199400000</v>
      </c>
      <c r="C9" s="18">
        <v>-56200000</v>
      </c>
      <c r="D9" s="18">
        <v>108300000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632300000</v>
      </c>
      <c r="C10" s="18">
        <v>571500000</v>
      </c>
      <c r="D10" s="18">
        <v>794700000</v>
      </c>
      <c r="E10" s="18">
        <v>408500000</v>
      </c>
      <c r="F10" s="8" t="s">
        <v>93</v>
      </c>
    </row>
    <row r="11" spans="1:6" x14ac:dyDescent="0.25">
      <c r="A11" t="s">
        <v>94</v>
      </c>
      <c r="B11" s="18">
        <v>213000000</v>
      </c>
      <c r="C11" s="18">
        <v>172200000</v>
      </c>
      <c r="D11" s="18">
        <v>172000000</v>
      </c>
      <c r="E11" s="18">
        <v>218900000</v>
      </c>
      <c r="F11" s="8" t="s">
        <v>95</v>
      </c>
    </row>
    <row r="12" spans="1:6" x14ac:dyDescent="0.25">
      <c r="A12" t="s">
        <v>32</v>
      </c>
      <c r="B12" s="34">
        <v>2284090909</v>
      </c>
      <c r="C12" s="34">
        <v>2280259754</v>
      </c>
      <c r="D12" s="34">
        <v>2279955799</v>
      </c>
      <c r="E12" s="34">
        <v>2281161070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54" customHeight="1" spans="1:6" x14ac:dyDescent="0.25">
      <c r="A19" s="35" t="s">
        <v>101</v>
      </c>
      <c r="B19" s="35"/>
      <c r="C19" s="35"/>
      <c r="D19" s="35"/>
      <c r="E19" s="35"/>
      <c r="F19" s="35"/>
    </row>
    <row r="20" ht="22" customHeight="1" spans="1:6" x14ac:dyDescent="0.25">
      <c r="A20" s="35" t="s">
        <v>102</v>
      </c>
      <c r="B20" s="35"/>
      <c r="C20" s="35"/>
      <c r="D20" s="35"/>
      <c r="E20" s="35"/>
      <c r="F20" s="35"/>
    </row>
    <row r="22" spans="1:1" x14ac:dyDescent="0.25">
      <c r="A22" s="36" t="s">
        <v>103</v>
      </c>
    </row>
  </sheetData>
  <mergeCells count="5">
    <mergeCell ref="A16:F16"/>
    <mergeCell ref="A17:F17"/>
    <mergeCell ref="A18:F18"/>
    <mergeCell ref="A19:F19"/>
    <mergeCell ref="A20:F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2026-09-19T00:06:56Z</dcterms:modified>
</cp:coreProperties>
</file>