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<sst xmlns="http://schemas.openxmlformats.org/spreadsheetml/2006/main" count="111" uniqueCount="99">
  <si>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Broadridge Financial Solutions, Inc. (BR)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</si>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</sst>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0.0724890868669692</v>
      </c>
    </row>
    <row r="7" spans="1:2" x14ac:dyDescent="0.25">
      <c r="A7" t="s">
        <v>5</v>
      </c>
      <c r="B7" s="6">
        <v>0.16432418686782146</v>
      </c>
    </row>
    <row r="8" spans="1:2" x14ac:dyDescent="0.25">
      <c r="A8" t="s">
        <v>6</v>
      </c>
      <c r="B8" s="6">
        <v>0.2068695216885324</v>
      </c>
    </row>
    <row r="9" spans="1:2" x14ac:dyDescent="0.25">
      <c r="A9" t="s">
        <v>7</v>
      </c>
      <c r="B9" s="6">
        <v>0.047913000681320386</v>
      </c>
    </row>
    <row r="10" spans="1:2" x14ac:dyDescent="0.25">
      <c r="A10" t="s">
        <v>8</v>
      </c>
      <c r="B10" s="6">
        <v>0.015378071368483225</v>
      </c>
    </row>
    <row r="11" spans="1:2" x14ac:dyDescent="0.25">
      <c r="A11" t="s">
        <v>9</v>
      </c>
      <c r="B11" s="6">
        <v>0.3719584822188191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13.225577879286194</v>
      </c>
    </row>
    <row r="14" spans="1:3" x14ac:dyDescent="0.25">
      <c r="A14" t="s">
        <v>12</v>
      </c>
      <c r="B14" s="6">
        <v>0.15281470432280997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0.9397</v>
      </c>
      <c r="C19" s="8" t="s">
        <v>19</v>
      </c>
    </row>
    <row r="20" spans="1:2" x14ac:dyDescent="0.25">
      <c r="A20" t="s">
        <v>20</v>
      </c>
      <c r="B20" s="10">
        <f>B17+B19*B18</f>
        <v>0.1016635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18600376320</v>
      </c>
    </row>
    <row r="23" spans="1:2" x14ac:dyDescent="0.25">
      <c r="A23" t="s">
        <v>24</v>
      </c>
      <c r="B23" s="11">
        <v>3517600000</v>
      </c>
    </row>
    <row r="24" spans="1:2" x14ac:dyDescent="0.25">
      <c r="A24" t="s">
        <v>25</v>
      </c>
      <c r="B24" s="10">
        <f>B22/(B22+B23)</f>
        <v>0.8409619420371999</v>
      </c>
    </row>
    <row r="25" spans="1:2" x14ac:dyDescent="0.25">
      <c r="A25" t="s">
        <v>26</v>
      </c>
      <c r="B25" s="10">
        <f>1-B24</f>
        <v>0.15903805796280013</v>
      </c>
    </row>
    <row r="26" spans="1:2" x14ac:dyDescent="0.25">
      <c r="A26" t="s">
        <v>27</v>
      </c>
      <c r="B26" s="12">
        <f>B24*B20+B25*B21*(1-B8)</f>
        <v>0.09179950818476737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7476800000</v>
      </c>
      <c r="C29" s="8" t="s">
        <v>30</v>
      </c>
    </row>
    <row r="30" spans="1:2" x14ac:dyDescent="0.25">
      <c r="A30" t="s">
        <v>31</v>
      </c>
      <c r="B30" s="11">
        <v>3114700000</v>
      </c>
    </row>
    <row r="31" spans="1:2" x14ac:dyDescent="0.25">
      <c r="A31" t="s">
        <v>32</v>
      </c>
      <c r="B31" s="13">
        <v>117100000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0.0724890868669692</v>
      </c>
      <c r="C5" s="10">
        <f>Assumptions!B6</f>
        <v>0.0724890868669692</v>
      </c>
      <c r="D5" s="10">
        <f>Assumptions!B6</f>
        <v>0.0724890868669692</v>
      </c>
      <c r="E5" s="10">
        <f>Assumptions!B6</f>
        <v>0.0724890868669692</v>
      </c>
      <c r="F5" s="10">
        <f>Assumptions!B6</f>
        <v>0.0724890868669692</v>
      </c>
    </row>
    <row r="6" spans="1:6" x14ac:dyDescent="0.25">
      <c r="A6" t="s">
        <v>43</v>
      </c>
      <c r="B6" s="18">
        <f>Assumptions!B29*(1+B5)</f>
        <v>8018786404.686955</v>
      </c>
      <c r="C6" s="18">
        <f>B6*(1+C5)</f>
        <v>8600060908.94398</v>
      </c>
      <c r="D6" s="18">
        <f>C6*(1+D5)</f>
        <v>9223471471.233646</v>
      </c>
      <c r="E6" s="18">
        <f>D6*(1+E5)</f>
        <v>9892072495.926914</v>
      </c>
      <c r="F6" s="18">
        <f>E6*(1+F5)</f>
        <v>10609139798.378517</v>
      </c>
    </row>
    <row r="7" spans="1:6" x14ac:dyDescent="0.25">
      <c r="A7" t="s">
        <v>5</v>
      </c>
      <c r="B7" s="10">
        <f>Assumptions!B7</f>
        <v>0.16432418686782146</v>
      </c>
      <c r="C7" s="10">
        <f>Assumptions!B7</f>
        <v>0.16432418686782146</v>
      </c>
      <c r="D7" s="10">
        <f>Assumptions!B7</f>
        <v>0.16432418686782146</v>
      </c>
      <c r="E7" s="10">
        <f>Assumptions!B7</f>
        <v>0.16432418686782146</v>
      </c>
      <c r="F7" s="10">
        <f>Assumptions!B7</f>
        <v>0.16432418686782146</v>
      </c>
    </row>
    <row r="8" spans="1:6" x14ac:dyDescent="0.25">
      <c r="A8" t="s">
        <v>44</v>
      </c>
      <c r="B8" s="18">
        <f>B6*B7</f>
        <v>1317680555.6169255</v>
      </c>
      <c r="C8" s="18">
        <f>C6*C7</f>
        <v>1413198015.875957</v>
      </c>
      <c r="D8" s="18">
        <f>D6*D7</f>
        <v>1515639449.6090178</v>
      </c>
      <c r="E8" s="18">
        <f>E6*E7</f>
        <v>1625506769.3307314</v>
      </c>
      <c r="F8" s="18">
        <f>F6*F7</f>
        <v>1743338270.735593</v>
      </c>
    </row>
    <row r="9" spans="1:6" x14ac:dyDescent="0.25">
      <c r="A9" t="s">
        <v>45</v>
      </c>
      <c r="B9" s="18">
        <f>B8*(1-Assumptions!B8)</f>
        <v>1045092609.3381726</v>
      </c>
      <c r="C9" s="18">
        <f>C8*(1-Assumptions!B8)</f>
        <v>1120850418.280515</v>
      </c>
      <c r="D9" s="18">
        <f>D8*(1-Assumptions!B8)</f>
        <v>1202099841.6161299</v>
      </c>
      <c r="E9" s="18">
        <f>E8*(1-Assumptions!B8)</f>
        <v>1289238961.4578116</v>
      </c>
      <c r="F9" s="18">
        <f>F8*(1-Assumptions!B8)</f>
        <v>1382694716.5272079</v>
      </c>
    </row>
    <row r="10" spans="1:6" x14ac:dyDescent="0.25">
      <c r="A10" t="s">
        <v>46</v>
      </c>
      <c r="B10" s="18">
        <f>B6*Assumptions!B9</f>
        <v>384204118.47112876</v>
      </c>
      <c r="C10" s="18">
        <f>C6*Assumptions!B9</f>
        <v>412054724.1896297</v>
      </c>
      <c r="D10" s="18">
        <f>D6*Assumptions!B9</f>
        <v>441924194.88535684</v>
      </c>
      <c r="E10" s="18">
        <f>E6*Assumptions!B9</f>
        <v>473958876.2370169</v>
      </c>
      <c r="F10" s="18">
        <f>F6*Assumptions!B9</f>
        <v>508315722.38793314</v>
      </c>
    </row>
    <row r="11" spans="1:6" x14ac:dyDescent="0.25">
      <c r="A11" t="s">
        <v>47</v>
      </c>
      <c r="B11" s="18">
        <f>-B6*Assumptions!B10</f>
        <v>-123313469.619899</v>
      </c>
      <c r="C11" s="18">
        <f>-C6*Assumptions!B10</f>
        <v>-132252350.43104322</v>
      </c>
      <c r="D11" s="18">
        <f>-D6*Assumptions!B10</f>
        <v>-141839202.54979998</v>
      </c>
      <c r="E11" s="18">
        <f>-E6*Assumptions!B10</f>
        <v>-152120996.82457408</v>
      </c>
      <c r="F11" s="18">
        <f>-F6*Assumptions!B10</f>
        <v>-163148108.97768056</v>
      </c>
    </row>
    <row r="12" spans="1:6" x14ac:dyDescent="0.25">
      <c r="A12" t="s">
        <v>48</v>
      </c>
      <c r="B12" s="18">
        <f>-(B6-Assumptions!B29)*Assumptions!B11</f>
        <v>-201596440.4705946</v>
      </c>
      <c r="C12" s="18">
        <f>-(C6-B6)*Assumptions!B11</f>
        <v>-216209982.3559391</v>
      </c>
      <c r="D12" s="18">
        <f>-(D6-C6)*Assumptions!B11</f>
        <v>-231882846.54844517</v>
      </c>
      <c r="E12" s="18">
        <f>-(E6-D6)*Assumptions!B11</f>
        <v>-248691822.3548551</v>
      </c>
      <c r="F12" s="18">
        <f>-(F6-E6)*Assumptions!B11</f>
        <v>-266719265.46864113</v>
      </c>
    </row>
    <row r="13" spans="1:6" x14ac:dyDescent="0.25">
      <c r="A13" s="19" t="s">
        <v>49</v>
      </c>
      <c r="B13" s="20">
        <f>B9+B10+B11+B12</f>
        <v>1104386817.7188077</v>
      </c>
      <c r="C13" s="20">
        <f>C9+C10+C11+C12</f>
        <v>1184442809.6831625</v>
      </c>
      <c r="D13" s="20">
        <f>D9+D10+D11+D12</f>
        <v>1270301987.4032416</v>
      </c>
      <c r="E13" s="20">
        <f>E9+E10+E11+E12</f>
        <v>1362385018.5153995</v>
      </c>
      <c r="F13" s="20">
        <f>F9+F10+F11+F12</f>
        <v>1461143064.4688194</v>
      </c>
    </row>
    <row r="14" spans="1:6" x14ac:dyDescent="0.25">
      <c r="A14" t="s">
        <v>50</v>
      </c>
      <c r="B14" s="21">
        <f>1/(1+Assumptions!$B$26)^(1-0.5*Assumptions!$B$32)</f>
        <v>0.9570366132023637</v>
      </c>
      <c r="C14" s="21">
        <f>1/(1+Assumptions!$B$26)^(2-0.5*Assumptions!$B$32)</f>
        <v>0.8765680933430156</v>
      </c>
      <c r="D14" s="21">
        <f>1/(1+Assumptions!$B$26)^(3-0.5*Assumptions!$B$32)</f>
        <v>0.8028654407441557</v>
      </c>
      <c r="E14" s="21">
        <f>1/(1+Assumptions!$B$26)^(4-0.5*Assumptions!$B$32)</f>
        <v>0.7353597750552249</v>
      </c>
      <c r="F14" s="21">
        <f>1/(1+Assumptions!$B$26)^(5-0.5*Assumptions!$B$32)</f>
        <v>0.6735300479094725</v>
      </c>
    </row>
    <row r="15" spans="1:6" x14ac:dyDescent="0.25">
      <c r="A15" s="19" t="s">
        <v>51</v>
      </c>
      <c r="B15" s="20">
        <f>B13*B14</f>
        <v>1056938619.6949439</v>
      </c>
      <c r="C15" s="20">
        <f>C13*C14</f>
        <v>1038244775.357814</v>
      </c>
      <c r="D15" s="20">
        <f>D13*D14</f>
        <v>1019881564.9946805</v>
      </c>
      <c r="E15" s="20">
        <f>E13*E14</f>
        <v>1001843140.7540926</v>
      </c>
      <c r="F15" s="20">
        <f>F13*F14</f>
        <v>984123758.2142774</v>
      </c>
    </row>
    <row r="17" spans="1:2" x14ac:dyDescent="0.25">
      <c r="A17" s="22" t="s">
        <v>52</v>
      </c>
      <c r="B17" s="23">
        <f>SUM(B15:F15)</f>
        <v>5101031859.015808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1461143064.4688194</v>
      </c>
    </row>
    <row r="5" spans="1:2" x14ac:dyDescent="0.25">
      <c r="A5" t="s">
        <v>56</v>
      </c>
      <c r="B5" s="18">
        <f>IF(Assumptions!$B$33=0,B4,B4-Forecast!F11-Forecast!F10-Forecast!F12)</f>
        <v>1639179652.2512498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0.16359682211725723</v>
      </c>
    </row>
    <row r="7" spans="1:2" x14ac:dyDescent="0.25">
      <c r="A7" t="s">
        <v>58</v>
      </c>
      <c r="B7" s="18">
        <f>-MAX(Forecast!F9,0)*B6</f>
        <v>-268164581.9875753</v>
      </c>
    </row>
    <row r="8" spans="1:2" x14ac:dyDescent="0.25">
      <c r="A8" t="s">
        <v>59</v>
      </c>
      <c r="B8" s="18">
        <f>IF(OR(Assumptions!$B$33=0,Assumptions!B12&lt;=0),B5,MAX(B5+B7,0))</f>
        <v>1371015070.2636745</v>
      </c>
    </row>
    <row r="9" spans="1:2" x14ac:dyDescent="0.25">
      <c r="A9" t="s">
        <v>60</v>
      </c>
      <c r="B9" s="18">
        <f>B8*(1+Assumptions!B12)/(Assumptions!B26-Assumptions!B12)</f>
        <v>21037437029.225338</v>
      </c>
    </row>
    <row r="10" spans="1:2" x14ac:dyDescent="0.25">
      <c r="A10" t="s">
        <v>61</v>
      </c>
      <c r="B10" s="18">
        <f>B9/(1+Assumptions!B26)^(5-0.5*Assumptions!B32)</f>
        <v>14169345970.186651</v>
      </c>
    </row>
    <row r="11" spans="1:2" x14ac:dyDescent="0.25">
      <c r="A11" t="s">
        <v>62</v>
      </c>
      <c r="B11" s="18">
        <f>Forecast!B17+B10</f>
        <v>19270377829.20246</v>
      </c>
    </row>
    <row r="12" spans="1:2" x14ac:dyDescent="0.25">
      <c r="A12" t="s">
        <v>63</v>
      </c>
      <c r="B12" s="18">
        <f>-Assumptions!B30</f>
        <v>-3114700000</v>
      </c>
    </row>
    <row r="13" spans="1:2" x14ac:dyDescent="0.25">
      <c r="A13" t="s">
        <v>64</v>
      </c>
      <c r="B13" s="18">
        <f>B11+B12</f>
        <v>16155677829.202461</v>
      </c>
    </row>
    <row r="14" spans="1:2" x14ac:dyDescent="0.25">
      <c r="A14" s="19" t="s">
        <v>65</v>
      </c>
      <c r="B14" s="24">
        <f>B13/Assumptions!B31</f>
        <v>137.96479785826185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2251653993.123526</v>
      </c>
    </row>
    <row r="18" spans="1:2" x14ac:dyDescent="0.25">
      <c r="A18" t="s">
        <v>60</v>
      </c>
      <c r="B18" s="18">
        <f>B17*Assumptions!B13</f>
        <v>29779425243.260933</v>
      </c>
    </row>
    <row r="19" spans="1:2" x14ac:dyDescent="0.25">
      <c r="A19" t="s">
        <v>61</v>
      </c>
      <c r="B19" s="18">
        <f>B18/(1+Assumptions!B26)^(5-0.5*Assumptions!B32)</f>
        <v>20057337710.81009</v>
      </c>
    </row>
    <row r="20" spans="1:2" x14ac:dyDescent="0.25">
      <c r="A20" t="s">
        <v>62</v>
      </c>
      <c r="B20" s="18">
        <f>Forecast!B17+B19</f>
        <v>25158369569.825897</v>
      </c>
    </row>
    <row r="21" spans="1:2" x14ac:dyDescent="0.25">
      <c r="A21" t="s">
        <v>63</v>
      </c>
      <c r="B21" s="18">
        <f>-Assumptions!B30</f>
        <v>-3114700000</v>
      </c>
    </row>
    <row r="22" spans="1:2" x14ac:dyDescent="0.25">
      <c r="A22" t="s">
        <v>64</v>
      </c>
      <c r="B22" s="18">
        <f>B20+B21</f>
        <v>22043669569.825897</v>
      </c>
    </row>
    <row r="23" spans="1:2" x14ac:dyDescent="0.25">
      <c r="A23" s="19" t="s">
        <v>65</v>
      </c>
      <c r="B23" s="25">
        <f>B22/Assumptions!B31</f>
        <v>188.24653774402987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163.13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137.96479785826185</v>
      </c>
    </row>
    <row r="29" spans="1:2" x14ac:dyDescent="0.25">
      <c r="A29" s="19" t="s">
        <v>73</v>
      </c>
      <c r="B29" s="12">
        <f>B28/B26-1</f>
        <v>-0.15426470999655584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0.0718</v>
      </c>
      <c r="B5" s="31">
        <v>184.1311876218461</v>
      </c>
      <c r="C5" s="31">
        <v>194.36021037473813</v>
      </c>
      <c r="D5" s="31">
        <v>206.7032881499755</v>
      </c>
      <c r="E5" s="31">
        <v>221.91905313261043</v>
      </c>
      <c r="F5" s="31">
        <v>241.17843760826702</v>
      </c>
    </row>
    <row r="6" spans="1:6" x14ac:dyDescent="0.25">
      <c r="A6" s="30">
        <v>0.0818</v>
      </c>
      <c r="B6" s="31">
        <v>152.62225070820568</v>
      </c>
      <c r="C6" s="31">
        <v>158.92711122291945</v>
      </c>
      <c r="D6" s="31">
        <v>166.28537608944464</v>
      </c>
      <c r="E6" s="31">
        <v>175.002085177997</v>
      </c>
      <c r="F6" s="31">
        <v>185.51263727768776</v>
      </c>
    </row>
    <row r="7" spans="1:6" x14ac:dyDescent="0.25">
      <c r="A7" s="30">
        <v>0.0918</v>
      </c>
      <c r="B7" s="31">
        <v>129.33539374836974</v>
      </c>
      <c r="C7" s="31">
        <v>133.37056014508448</v>
      </c>
      <c r="D7" s="32">
        <v>137.9636133440225</v>
      </c>
      <c r="E7" s="31">
        <v>143.24996276319925</v>
      </c>
      <c r="F7" s="31">
        <v>149.41269719317071</v>
      </c>
    </row>
    <row r="8" spans="1:6" x14ac:dyDescent="0.25">
      <c r="A8" s="30">
        <v>0.1018</v>
      </c>
      <c r="B8" s="31">
        <v>111.4281325030146</v>
      </c>
      <c r="C8" s="31">
        <v>114.06810426557335</v>
      </c>
      <c r="D8" s="31">
        <v>117.01327000263478</v>
      </c>
      <c r="E8" s="31">
        <v>120.32738890107277</v>
      </c>
      <c r="F8" s="31">
        <v>124.09330972466945</v>
      </c>
    </row>
    <row r="9" spans="1:6" x14ac:dyDescent="0.25">
      <c r="A9" s="30">
        <v>0.1118</v>
      </c>
      <c r="B9" s="31">
        <v>97.23260159013996</v>
      </c>
      <c r="C9" s="31">
        <v>98.97571035566096</v>
      </c>
      <c r="D9" s="31">
        <v>100.88688633309506</v>
      </c>
      <c r="E9" s="31">
        <v>102.99694869333098</v>
      </c>
      <c r="F9" s="31">
        <v>105.3447424330097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7476800000</v>
      </c>
      <c r="C5" s="18">
        <v>6889100000</v>
      </c>
      <c r="D5" s="18">
        <v>6506800000</v>
      </c>
      <c r="E5" s="18">
        <v>6060900000</v>
      </c>
      <c r="F5" s="8" t="s">
        <v>84</v>
      </c>
    </row>
    <row r="6" spans="1:6" x14ac:dyDescent="0.25">
      <c r="A6" t="s">
        <v>44</v>
      </c>
      <c r="B6" s="18">
        <v>1300600000</v>
      </c>
      <c r="C6" s="18">
        <v>1188600000</v>
      </c>
      <c r="D6" s="18">
        <v>1017100000</v>
      </c>
      <c r="E6" s="18">
        <v>936400000</v>
      </c>
      <c r="F6" s="8" t="s">
        <v>85</v>
      </c>
    </row>
    <row r="7" spans="1:6" x14ac:dyDescent="0.25">
      <c r="A7" t="s">
        <v>86</v>
      </c>
      <c r="B7" s="18">
        <v>341300000</v>
      </c>
      <c r="C7" s="18">
        <v>327300000</v>
      </c>
      <c r="D7" s="18">
        <v>320100000</v>
      </c>
      <c r="E7" s="18">
        <v>298800000</v>
      </c>
      <c r="F7" s="8" t="s">
        <v>87</v>
      </c>
    </row>
    <row r="8" spans="1:6" x14ac:dyDescent="0.25">
      <c r="A8" t="s">
        <v>88</v>
      </c>
      <c r="B8" s="18">
        <v>112600000</v>
      </c>
      <c r="C8" s="18">
        <v>114900000</v>
      </c>
      <c r="D8" s="18">
        <v>113000000</v>
      </c>
      <c r="E8" s="18">
        <v>75200000</v>
      </c>
      <c r="F8" s="8" t="s">
        <v>89</v>
      </c>
    </row>
    <row r="9" spans="1:6" x14ac:dyDescent="0.25">
      <c r="A9" t="s">
        <v>90</v>
      </c>
      <c r="B9" s="18">
        <v>218600000</v>
      </c>
      <c r="C9" s="18">
        <v>224600000</v>
      </c>
      <c r="D9" s="18">
        <v>31200000</v>
      </c>
      <c r="E9" s="18">
        <v>229700000</v>
      </c>
      <c r="F9" s="8" t="s">
        <v>91</v>
      </c>
    </row>
    <row r="10" spans="1:6" x14ac:dyDescent="0.25">
      <c r="A10" t="s">
        <v>92</v>
      </c>
      <c r="B10" s="18">
        <v>3517600000</v>
      </c>
      <c r="C10" s="18">
        <v>3459000000</v>
      </c>
      <c r="D10" s="18">
        <v>3576900000</v>
      </c>
      <c r="E10" s="18">
        <v>3652600000</v>
      </c>
      <c r="F10" s="8" t="s">
        <v>93</v>
      </c>
    </row>
    <row r="11" spans="1:6" x14ac:dyDescent="0.25">
      <c r="A11" t="s">
        <v>94</v>
      </c>
      <c r="B11" s="18">
        <v>402900000</v>
      </c>
      <c r="C11" s="18">
        <v>561500000</v>
      </c>
      <c r="D11" s="18">
        <v>304400000</v>
      </c>
      <c r="E11" s="18">
        <v>252300000</v>
      </c>
      <c r="F11" s="8" t="s">
        <v>95</v>
      </c>
    </row>
    <row r="12" spans="1:6" x14ac:dyDescent="0.25">
      <c r="A12" t="s">
        <v>32</v>
      </c>
      <c r="B12" s="34">
        <v>117100000</v>
      </c>
      <c r="C12" s="34">
        <v>118300000</v>
      </c>
      <c r="D12" s="34">
        <v>119100000</v>
      </c>
      <c r="E12" s="34">
        <v>119000000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