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<sst xmlns="http://schemas.openxmlformats.org/spreadsheetml/2006/main" count="119" uniqueCount="106">
  <si>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Broadridge Financial Solutions, Inc. (BR)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</si>
  <si>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</si>
  <si>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</si>
  <si>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</si>
  <si>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</si>
  <si>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</si>
  <si>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</si>
  <si>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</si>
  <si>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</si>
  <si>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</si>
  <si>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</si>
  <si>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</si>
  <si>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</si>
  <si>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</si>
  <si>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</si>
  <si>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</si>
  <si>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</si>
  <si>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</si>
  <si>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</si>
  <si>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</si>
  <si>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</si>
  <si>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</si>
  <si>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</si>
  <si>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</si>
  <si>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11.6x interest cover. Book interest / average debt was lower, at 3.2%.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</si>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</sst>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0.05076660870960836</v>
      </c>
    </row>
    <row r="7" spans="1:2" x14ac:dyDescent="0.25">
      <c r="A7" t="s">
        <v>4</v>
      </c>
      <c r="B7" s="5">
        <v>0.16432418686782146</v>
      </c>
    </row>
    <row r="8" spans="1:2" x14ac:dyDescent="0.25">
      <c r="A8" t="s">
        <v>5</v>
      </c>
      <c r="B8" s="5">
        <v>0.2068695216885324</v>
      </c>
    </row>
    <row r="9" spans="1:2" x14ac:dyDescent="0.25">
      <c r="A9" t="s">
        <v>6</v>
      </c>
      <c r="B9" s="5">
        <v>0.047913000681320386</v>
      </c>
    </row>
    <row r="10" spans="1:3" x14ac:dyDescent="0.25">
      <c r="A10" t="s">
        <v>7</v>
      </c>
      <c r="B10" s="5">
        <v>0.015378071368483225</v>
      </c>
      <c r="C10" s="6" t="s">
        <v>8</v>
      </c>
    </row>
    <row r="11" spans="1:2" x14ac:dyDescent="0.25">
      <c r="A11" t="s">
        <v>9</v>
      </c>
      <c r="B11" s="5">
        <v>0.1277011872470672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14.564311785126987</v>
      </c>
    </row>
    <row r="14" spans="1:3" x14ac:dyDescent="0.25">
      <c r="A14" t="s">
        <v>12</v>
      </c>
      <c r="B14" s="5">
        <v>0.15281470432280997</v>
      </c>
      <c r="C14" s="6" t="s">
        <v>13</v>
      </c>
    </row>
    <row r="15" spans="1:3" x14ac:dyDescent="0.25">
      <c r="A15" t="s">
        <v>14</v>
      </c>
      <c r="B15" s="5">
        <v>0.017431450413626627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0.93166</v>
      </c>
      <c r="C19" s="6" t="s">
        <v>21</v>
      </c>
    </row>
    <row r="20" spans="1:2" x14ac:dyDescent="0.25">
      <c r="A20" t="s">
        <v>22</v>
      </c>
      <c r="B20" s="9">
        <f>B17+B19*B18</f>
        <v>0.08834921800000001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20798443520</v>
      </c>
    </row>
    <row r="23" spans="1:2" x14ac:dyDescent="0.25">
      <c r="A23" t="s">
        <v>26</v>
      </c>
      <c r="B23" s="10">
        <v>3517600000</v>
      </c>
    </row>
    <row r="24" spans="1:2" x14ac:dyDescent="0.25">
      <c r="A24" t="s">
        <v>27</v>
      </c>
      <c r="B24" s="9">
        <f>B22/(B22+B23)</f>
        <v>0.8553383079320956</v>
      </c>
    </row>
    <row r="25" spans="1:2" x14ac:dyDescent="0.25">
      <c r="A25" t="s">
        <v>28</v>
      </c>
      <c r="B25" s="9">
        <f>1-B24</f>
        <v>0.14466169206790436</v>
      </c>
    </row>
    <row r="26" spans="1:2" x14ac:dyDescent="0.25">
      <c r="A26" t="s">
        <v>29</v>
      </c>
      <c r="B26" s="11">
        <f>B24*B20+B25*B21*(1-B8)</f>
        <v>0.08164257313765011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7476800000</v>
      </c>
      <c r="C29" s="6" t="s">
        <v>32</v>
      </c>
    </row>
    <row r="30" spans="1:2" x14ac:dyDescent="0.25">
      <c r="A30" t="s">
        <v>33</v>
      </c>
      <c r="B30" s="10">
        <v>3114700000</v>
      </c>
    </row>
    <row r="31" spans="1:2" x14ac:dyDescent="0.25">
      <c r="A31" t="s">
        <v>34</v>
      </c>
      <c r="B31" s="12">
        <v>117100000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0.05076660870960836</v>
      </c>
      <c r="C5" s="5">
        <v>0.049228346217597085</v>
      </c>
      <c r="D5" s="5">
        <v>0.04619980294039745</v>
      </c>
      <c r="E5" s="5">
        <v>0.04317125966319781</v>
      </c>
      <c r="F5" s="5">
        <v>0.04014271638599818</v>
      </c>
      <c r="G5" s="5">
        <v>0.03711417310879854</v>
      </c>
      <c r="H5" s="5">
        <v>0.03408562983159891</v>
      </c>
      <c r="I5" s="5">
        <v>0.031057086554399274</v>
      </c>
      <c r="J5" s="5">
        <v>0.028028543277199638</v>
      </c>
      <c r="K5" s="5">
        <v>0.025</v>
      </c>
    </row>
    <row r="6" spans="1:11" x14ac:dyDescent="0.25">
      <c r="A6" t="s">
        <v>50</v>
      </c>
      <c r="B6" s="18">
        <f>Assumptions!B29*(1+B5)</f>
        <v>7856371780</v>
      </c>
      <c r="C6" s="18">
        <f>B6*(1+C5)</f>
        <v>8243127969.999999</v>
      </c>
      <c r="D6" s="18">
        <f>C6*(1+D5)</f>
        <v>8623958857.826477</v>
      </c>
      <c r="E6" s="18">
        <f>D6*(1+E5)</f>
        <v>8996266025.00244</v>
      </c>
      <c r="F6" s="18">
        <f>E6*(1+F5)</f>
        <v>9357400580.577105</v>
      </c>
      <c r="G6" s="18">
        <f>F6*(1+G5)</f>
        <v>9704692765.573015</v>
      </c>
      <c r="H6" s="18">
        <f>G6*(1+H5)</f>
        <v>10035483330.809734</v>
      </c>
      <c r="I6" s="18">
        <f>H6*(1+I5)</f>
        <v>10347156205.229923</v>
      </c>
      <c r="J6" s="18">
        <f>I6*(1+J5)</f>
        <v>10637171920.724155</v>
      </c>
      <c r="K6" s="18">
        <f>J6*(1+K5)</f>
        <v>10903101218.742258</v>
      </c>
    </row>
    <row r="7" spans="1:11" x14ac:dyDescent="0.25">
      <c r="A7" t="s">
        <v>4</v>
      </c>
      <c r="B7" s="9">
        <f>Assumptions!B7</f>
        <v>0.16432418686782146</v>
      </c>
      <c r="C7" s="9">
        <f>Assumptions!B7</f>
        <v>0.16432418686782146</v>
      </c>
      <c r="D7" s="9">
        <f>Assumptions!B7</f>
        <v>0.16432418686782146</v>
      </c>
      <c r="E7" s="9">
        <f>Assumptions!B7</f>
        <v>0.16432418686782146</v>
      </c>
      <c r="F7" s="9">
        <f>Assumptions!B7</f>
        <v>0.16432418686782146</v>
      </c>
      <c r="G7" s="9">
        <f>Assumptions!B7</f>
        <v>0.16432418686782146</v>
      </c>
      <c r="H7" s="9">
        <f>Assumptions!B7</f>
        <v>0.16432418686782146</v>
      </c>
      <c r="I7" s="9">
        <f>Assumptions!B7</f>
        <v>0.16432418686782146</v>
      </c>
      <c r="J7" s="9">
        <f>Assumptions!B7</f>
        <v>0.16432418686782146</v>
      </c>
      <c r="K7" s="9">
        <f>Assumptions!B7</f>
        <v>0.16432418686782146</v>
      </c>
    </row>
    <row r="8" spans="1:11" x14ac:dyDescent="0.25">
      <c r="A8" t="s">
        <v>51</v>
      </c>
      <c r="B8" s="18">
        <f>B6*B7</f>
        <v>1290991904.479799</v>
      </c>
      <c r="C8" s="18">
        <f>C6*C7</f>
        <v>1354545300.9176457</v>
      </c>
      <c r="D8" s="18">
        <f>D6*D7</f>
        <v>1417125026.8938823</v>
      </c>
      <c r="E8" s="18">
        <f>E6*E7</f>
        <v>1478304099.4051342</v>
      </c>
      <c r="F8" s="18">
        <f>F6*F7</f>
        <v>1537647241.5998132</v>
      </c>
      <c r="G8" s="18">
        <f>G6*G7</f>
        <v>1594715747.5048153</v>
      </c>
      <c r="H8" s="18">
        <f>H6*H7</f>
        <v>1649072638.160886</v>
      </c>
      <c r="I8" s="18">
        <f>I6*I7</f>
        <v>1700288029.8187404</v>
      </c>
      <c r="J8" s="18">
        <f>J6*J7</f>
        <v>1747944626.4462194</v>
      </c>
      <c r="K8" s="18">
        <f>K6*K7</f>
        <v>1791643242.1073747</v>
      </c>
    </row>
    <row r="9" spans="1:11" x14ac:dyDescent="0.25">
      <c r="A9" t="s">
        <v>52</v>
      </c>
      <c r="B9" s="18">
        <f>B8*(1-Assumptions!B8)</f>
        <v>1023925026.6962956</v>
      </c>
      <c r="C9" s="18">
        <f>C8*(1-Assumptions!B8)</f>
        <v>1074331162.4113631</v>
      </c>
      <c r="D9" s="18">
        <f>D8*(1-Assumptions!B8)</f>
        <v>1123965050.4074962</v>
      </c>
      <c r="E9" s="18">
        <f>E8*(1-Assumptions!B8)</f>
        <v>1172488037.4509976</v>
      </c>
      <c r="F9" s="18">
        <f>F8*(1-Assumptions!B8)</f>
        <v>1219554892.2043688</v>
      </c>
      <c r="G9" s="18">
        <f>G8*(1-Assumptions!B8)</f>
        <v>1264817663.5893238</v>
      </c>
      <c r="H9" s="18">
        <f>H8*(1-Assumptions!B8)</f>
        <v>1307929770.2748973</v>
      </c>
      <c r="I9" s="18">
        <f>I8*(1-Assumptions!B8)</f>
        <v>1348550258.3574004</v>
      </c>
      <c r="J9" s="18">
        <f>J8*(1-Assumptions!B8)</f>
        <v>1386348157.6352496</v>
      </c>
      <c r="K9" s="18">
        <f>K8*(1-Assumptions!B8)</f>
        <v>1421006861.5761306</v>
      </c>
    </row>
    <row r="10" spans="1:11" x14ac:dyDescent="0.25">
      <c r="A10" t="s">
        <v>53</v>
      </c>
      <c r="B10" s="18">
        <f>B6*Assumptions!B9</f>
        <v>376422346.44784623</v>
      </c>
      <c r="C10" s="18">
        <f>C6*Assumptions!B9</f>
        <v>394952996.0428211</v>
      </c>
      <c r="D10" s="18">
        <f>D6*Assumptions!B9</f>
        <v>413199746.63071895</v>
      </c>
      <c r="E10" s="18">
        <f>E6*Assumptions!B9</f>
        <v>431038100.18528134</v>
      </c>
      <c r="F10" s="18">
        <f>F6*Assumptions!B9</f>
        <v>448341140.3925786</v>
      </c>
      <c r="G10" s="18">
        <f>G6*Assumptions!B9</f>
        <v>464980951.0889049</v>
      </c>
      <c r="H10" s="18">
        <f>H6*Assumptions!B9</f>
        <v>480830119.6664662</v>
      </c>
      <c r="I10" s="18">
        <f>I6*Assumptions!B9</f>
        <v>495763302.31090975</v>
      </c>
      <c r="J10" s="18">
        <f>J6*Assumptions!B9</f>
        <v>509658825.48497856</v>
      </c>
      <c r="K10" s="18">
        <f>K6*Assumptions!B9</f>
        <v>522400296.1221029</v>
      </c>
    </row>
    <row r="11" spans="1:11" x14ac:dyDescent="0.25">
      <c r="A11" t="s">
        <v>54</v>
      </c>
      <c r="B11" s="18">
        <f>-B6*B19</f>
        <v>-120815845.93017758</v>
      </c>
      <c r="C11" s="18">
        <f>-C6*C19</f>
        <v>-151795161.00577697</v>
      </c>
      <c r="D11" s="18">
        <f>-D6*D19</f>
        <v>-184996280.26858088</v>
      </c>
      <c r="E11" s="18">
        <f>-E6*E19</f>
        <v>-220301593.5899981</v>
      </c>
      <c r="F11" s="18">
        <f>-F6*F19</f>
        <v>-257560539.32395273</v>
      </c>
      <c r="G11" s="18">
        <f>-G6*G19</f>
        <v>-296589742.71847564</v>
      </c>
      <c r="H11" s="18">
        <f>-H6*H19</f>
        <v>-337173753.305069</v>
      </c>
      <c r="I11" s="18">
        <f>-I6*I19</f>
        <v>-379066401.2720806</v>
      </c>
      <c r="J11" s="18">
        <f>-J6*J19</f>
        <v>-421992779.0692597</v>
      </c>
      <c r="K11" s="18">
        <f>-K6*K19</f>
        <v>-465651839.7792881</v>
      </c>
    </row>
    <row r="12" spans="1:11" x14ac:dyDescent="0.25">
      <c r="A12" t="s">
        <v>55</v>
      </c>
      <c r="B12" s="18">
        <f>-(B6-Assumptions!B29)*Assumptions!B11</f>
        <v>-48471766.951482594</v>
      </c>
      <c r="C12" s="18">
        <f>-(C6-B6)*Assumptions!B11</f>
        <v>-49389224.638152175</v>
      </c>
      <c r="D12" s="18">
        <f>-(D6-C6)*Assumptions!B11</f>
        <v>-48632556.51579591</v>
      </c>
      <c r="E12" s="18">
        <f>-(E6-D6)*Assumptions!B11</f>
        <v>-47544067.268962726</v>
      </c>
      <c r="F12" s="18">
        <f>-(F6-E6)*Assumptions!B11</f>
        <v>-46117311.5028267</v>
      </c>
      <c r="G12" s="18">
        <f>-(G6-F6)*Assumptions!B11</f>
        <v>-44349624.34560589</v>
      </c>
      <c r="H12" s="18">
        <f>-(H6-G6)*Assumptions!B11</f>
        <v>-42242347.91085747</v>
      </c>
      <c r="I12" s="18">
        <f>-(I6-H6)*Assumptions!B11</f>
        <v>-39800996.096164204</v>
      </c>
      <c r="J12" s="18">
        <f>-(J6-I6)*Assumptions!B11</f>
        <v>-37035351.18892111</v>
      </c>
      <c r="K12" s="18">
        <f>-(K6-J6)*Assumptions!B11</f>
        <v>-33959487.08069086</v>
      </c>
    </row>
    <row r="13" spans="1:11" x14ac:dyDescent="0.25">
      <c r="A13" s="19" t="s">
        <v>56</v>
      </c>
      <c r="B13" s="20">
        <f>B9+B10+B11+B12</f>
        <v>1231059760.2624817</v>
      </c>
      <c r="C13" s="20">
        <f>C9+C10+C11+C12</f>
        <v>1268099772.8102553</v>
      </c>
      <c r="D13" s="20">
        <f>D9+D10+D11+D12</f>
        <v>1303535960.2538383</v>
      </c>
      <c r="E13" s="20">
        <f>E9+E10+E11+E12</f>
        <v>1335680476.7773182</v>
      </c>
      <c r="F13" s="20">
        <f>F9+F10+F11+F12</f>
        <v>1364218181.770168</v>
      </c>
      <c r="G13" s="20">
        <f>G9+G10+G11+G12</f>
        <v>1388859247.6141472</v>
      </c>
      <c r="H13" s="20">
        <f>H9+H10+H11+H12</f>
        <v>1409343788.7254372</v>
      </c>
      <c r="I13" s="20">
        <f>I9+I10+I11+I12</f>
        <v>1425446163.3000653</v>
      </c>
      <c r="J13" s="20">
        <f>J9+J10+J11+J12</f>
        <v>1436978852.8620474</v>
      </c>
      <c r="K13" s="20">
        <f>K9+K10+K11+K12</f>
        <v>1443795830.8382547</v>
      </c>
    </row>
    <row r="14" spans="1:11" x14ac:dyDescent="0.25">
      <c r="A14" t="s">
        <v>57</v>
      </c>
      <c r="B14" s="21">
        <f>1/(1+Assumptions!$B$26)^(1-0.5*Assumptions!$B$32)</f>
        <v>0.961519538414914</v>
      </c>
      <c r="C14" s="21">
        <f>1/(1+Assumptions!$B$26)^(2-0.5*Assumptions!$B$32)</f>
        <v>0.8889438732295079</v>
      </c>
      <c r="D14" s="21">
        <f>1/(1+Assumptions!$B$26)^(3-0.5*Assumptions!$B$32)</f>
        <v>0.8218462321160694</v>
      </c>
      <c r="E14" s="21">
        <f>1/(1+Assumptions!$B$26)^(4-0.5*Assumptions!$B$32)</f>
        <v>0.7598131328466867</v>
      </c>
      <c r="F14" s="21">
        <f>1/(1+Assumptions!$B$26)^(5-0.5*Assumptions!$B$32)</f>
        <v>0.7024623029052987</v>
      </c>
      <c r="G14" s="21">
        <f>1/(1+Assumptions!$B$26)^(6-0.5*Assumptions!$B$32)</f>
        <v>0.649440323773113</v>
      </c>
      <c r="H14" s="21">
        <f>1/(1+Assumptions!$B$26)^(7-0.5*Assumptions!$B$32)</f>
        <v>0.6004204530237781</v>
      </c>
      <c r="I14" s="21">
        <f>1/(1+Assumptions!$B$26)^(8-0.5*Assumptions!$B$32)</f>
        <v>0.5551006108071972</v>
      </c>
      <c r="J14" s="21">
        <f>1/(1+Assumptions!$B$26)^(9-0.5*Assumptions!$B$32)</f>
        <v>0.5132015183139014</v>
      </c>
      <c r="K14" s="21">
        <f>1/(1+Assumptions!$B$26)^(10-0.5*Assumptions!$B$32)</f>
        <v>0.4744649767484616</v>
      </c>
    </row>
    <row r="15" spans="1:11" x14ac:dyDescent="0.25">
      <c r="A15" s="19" t="s">
        <v>58</v>
      </c>
      <c r="B15" s="20">
        <f>B13*B14</f>
        <v>1183688012.448756</v>
      </c>
      <c r="C15" s="20">
        <f>C13*C14</f>
        <v>1127269523.6834073</v>
      </c>
      <c r="D15" s="20">
        <f>D13*D14</f>
        <v>1071306117.3624195</v>
      </c>
      <c r="E15" s="20">
        <f>E13*E14</f>
        <v>1014867567.5423304</v>
      </c>
      <c r="F15" s="20">
        <f>F13*F14</f>
        <v>958311845.6315516</v>
      </c>
      <c r="G15" s="20">
        <f>G13*G14</f>
        <v>901981199.4458139</v>
      </c>
      <c r="H15" s="20">
        <f>H13*H14</f>
        <v>846198836.0927747</v>
      </c>
      <c r="I15" s="20">
        <f>I13*I14</f>
        <v>791266035.920642</v>
      </c>
      <c r="J15" s="20">
        <f>J13*J14</f>
        <v>737459729.073771</v>
      </c>
      <c r="K15" s="20">
        <f>K13*K14</f>
        <v>685030555.3081983</v>
      </c>
    </row>
    <row r="17" spans="1:2" x14ac:dyDescent="0.25">
      <c r="A17" s="22" t="s">
        <v>59</v>
      </c>
      <c r="B17" s="23">
        <f>SUM(B15:K15)</f>
        <v>9317379422.509665</v>
      </c>
    </row>
    <row r="19" spans="1:11" x14ac:dyDescent="0.25">
      <c r="A19" t="s">
        <v>7</v>
      </c>
      <c r="B19" s="9">
        <f>Assumptions!$B$10+($B$20-Assumptions!$B$10)*0/9</f>
        <v>0.015378071368483225</v>
      </c>
      <c r="C19" s="9">
        <f>Assumptions!$B$10+($B$20-Assumptions!$B$10)*1/9</f>
        <v>0.018414752452978963</v>
      </c>
      <c r="D19" s="9">
        <f>Assumptions!$B$10+($B$20-Assumptions!$B$10)*2/9</f>
        <v>0.0214514335374747</v>
      </c>
      <c r="E19" s="9">
        <f>Assumptions!$B$10+($B$20-Assumptions!$B$10)*3/9</f>
        <v>0.024488114621970435</v>
      </c>
      <c r="F19" s="9">
        <f>Assumptions!$B$10+($B$20-Assumptions!$B$10)*4/9</f>
        <v>0.02752479570646617</v>
      </c>
      <c r="G19" s="9">
        <f>Assumptions!$B$10+($B$20-Assumptions!$B$10)*5/9</f>
        <v>0.03056147679096191</v>
      </c>
      <c r="H19" s="9">
        <f>Assumptions!$B$10+($B$20-Assumptions!$B$10)*6/9</f>
        <v>0.03359815787545765</v>
      </c>
      <c r="I19" s="9">
        <f>Assumptions!$B$10+($B$20-Assumptions!$B$10)*7/9</f>
        <v>0.036634838959953384</v>
      </c>
      <c r="J19" s="9">
        <f>Assumptions!$B$10+($B$20-Assumptions!$B$10)*8/9</f>
        <v>0.03967152004444912</v>
      </c>
      <c r="K19" s="9">
        <f>Assumptions!$B$10+($B$20-Assumptions!$B$10)*9/9</f>
        <v>0.042708201128944856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0.042708201128944856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1443795830.8382547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1684598563.488593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0.16359682211725723</v>
      </c>
    </row>
    <row r="7" spans="1:2" x14ac:dyDescent="0.25">
      <c r="A7" t="s">
        <v>66</v>
      </c>
      <c r="B7" s="18">
        <f>-MAX(B5,0)*B6</f>
        <v>-275594971.5300304</v>
      </c>
    </row>
    <row r="8" spans="1:2" x14ac:dyDescent="0.25">
      <c r="A8" t="s">
        <v>67</v>
      </c>
      <c r="B8" s="18">
        <f>IF(OR(Assumptions!$B$33=0,Assumptions!B12&lt;=0),B5,MAX(B5+B7,0))</f>
        <v>1409003591.9585626</v>
      </c>
    </row>
    <row r="9" spans="1:2" x14ac:dyDescent="0.25">
      <c r="A9" t="s">
        <v>68</v>
      </c>
      <c r="B9" s="18">
        <f>B8*(1+Assumptions!B12)/(Assumptions!B26-Assumptions!B12)</f>
        <v>25497229411.662323</v>
      </c>
    </row>
    <row r="10" spans="1:2" x14ac:dyDescent="0.25">
      <c r="A10" t="s">
        <v>69</v>
      </c>
      <c r="B10" s="18">
        <f>B9/(1+Assumptions!B26)^(10-0.5*Assumptions!B32)</f>
        <v>12097542359.954556</v>
      </c>
    </row>
    <row r="11" spans="1:2" x14ac:dyDescent="0.25">
      <c r="A11" t="s">
        <v>70</v>
      </c>
      <c r="B11" s="18">
        <f>Forecast!B17+B10</f>
        <v>21414921782.46422</v>
      </c>
    </row>
    <row r="12" spans="1:2" x14ac:dyDescent="0.25">
      <c r="A12" t="s">
        <v>71</v>
      </c>
      <c r="B12" s="18">
        <f>-Assumptions!B30</f>
        <v>-3114700000</v>
      </c>
    </row>
    <row r="13" spans="1:2" x14ac:dyDescent="0.25">
      <c r="A13" t="s">
        <v>72</v>
      </c>
      <c r="B13" s="18">
        <f>B11+B12</f>
        <v>18300221782.46422</v>
      </c>
    </row>
    <row r="14" spans="1:2" x14ac:dyDescent="0.25">
      <c r="A14" s="19" t="s">
        <v>73</v>
      </c>
      <c r="B14" s="24">
        <f>B13/Assumptions!B31</f>
        <v>156.2785805505057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2314043538.2294774</v>
      </c>
    </row>
    <row r="18" spans="1:2" x14ac:dyDescent="0.25">
      <c r="A18" t="s">
        <v>68</v>
      </c>
      <c r="B18" s="18">
        <f>B17*Assumptions!B13</f>
        <v>33702451575.13253</v>
      </c>
    </row>
    <row r="19" spans="1:2" x14ac:dyDescent="0.25">
      <c r="A19" t="s">
        <v>69</v>
      </c>
      <c r="B19" s="18">
        <f>B18/(1+Assumptions!B26)^(10-0.5*Assumptions!B32)</f>
        <v>15990632902.961409</v>
      </c>
    </row>
    <row r="20" spans="1:2" x14ac:dyDescent="0.25">
      <c r="A20" t="s">
        <v>70</v>
      </c>
      <c r="B20" s="18">
        <f>Forecast!B17+B19</f>
        <v>25308012325.471073</v>
      </c>
    </row>
    <row r="21" spans="1:2" x14ac:dyDescent="0.25">
      <c r="A21" t="s">
        <v>71</v>
      </c>
      <c r="B21" s="18">
        <f>-Assumptions!B30</f>
        <v>-3114700000</v>
      </c>
    </row>
    <row r="22" spans="1:2" x14ac:dyDescent="0.25">
      <c r="A22" t="s">
        <v>72</v>
      </c>
      <c r="B22" s="18">
        <f>B20+B21</f>
        <v>22193312325.471073</v>
      </c>
    </row>
    <row r="23" spans="1:2" x14ac:dyDescent="0.25">
      <c r="A23" s="19" t="s">
        <v>73</v>
      </c>
      <c r="B23" s="25">
        <f>B22/Assumptions!B31</f>
        <v>189.5244434284464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184.22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156.2785805505057</v>
      </c>
    </row>
    <row r="29" spans="1:2" x14ac:dyDescent="0.25">
      <c r="A29" s="19" t="s">
        <v>81</v>
      </c>
      <c r="B29" s="11">
        <f>B28/B26-1</f>
        <v>-0.15167419091029366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0.061643</v>
      </c>
      <c r="B5" s="31">
        <v>222.90593406740862</v>
      </c>
      <c r="C5" s="31">
        <v>235.01371557798728</v>
      </c>
      <c r="D5" s="31">
        <v>250.7478302480876</v>
      </c>
      <c r="E5" s="31">
        <v>271.8272995798691</v>
      </c>
      <c r="F5" s="31">
        <v>301.2615564421983</v>
      </c>
    </row>
    <row r="6" spans="1:6" x14ac:dyDescent="0.25">
      <c r="A6" s="30">
        <v>0.071643</v>
      </c>
      <c r="B6" s="31">
        <v>179.59726145391326</v>
      </c>
      <c r="C6" s="31">
        <v>185.73593621847985</v>
      </c>
      <c r="D6" s="31">
        <v>193.42978413907957</v>
      </c>
      <c r="E6" s="31">
        <v>203.23898573441917</v>
      </c>
      <c r="F6" s="31">
        <v>216.02947188136716</v>
      </c>
    </row>
    <row r="7" spans="1:6" x14ac:dyDescent="0.25">
      <c r="A7" s="30">
        <v>0.081643</v>
      </c>
      <c r="B7" s="31">
        <v>149.27745593228798</v>
      </c>
      <c r="C7" s="31">
        <v>152.40794175565904</v>
      </c>
      <c r="D7" s="32">
        <v>156.27727315787985</v>
      </c>
      <c r="E7" s="31">
        <v>161.10005199559603</v>
      </c>
      <c r="F7" s="31">
        <v>167.18289901645306</v>
      </c>
    </row>
    <row r="8" spans="1:6" x14ac:dyDescent="0.25">
      <c r="A8" s="30">
        <v>0.091643</v>
      </c>
      <c r="B8" s="31">
        <v>126.86340062046077</v>
      </c>
      <c r="C8" s="31">
        <v>128.35390739136687</v>
      </c>
      <c r="D8" s="31">
        <v>130.21784379806655</v>
      </c>
      <c r="E8" s="31">
        <v>132.5460789503842</v>
      </c>
      <c r="F8" s="31">
        <v>135.46156680881387</v>
      </c>
    </row>
    <row r="9" spans="1:6" x14ac:dyDescent="0.25">
      <c r="A9" s="30">
        <v>0.101643</v>
      </c>
      <c r="B9" s="31">
        <v>109.61854741453556</v>
      </c>
      <c r="C9" s="31">
        <v>110.16846807634789</v>
      </c>
      <c r="D9" s="31">
        <v>110.9135087737543</v>
      </c>
      <c r="E9" s="31">
        <v>111.89452207482023</v>
      </c>
      <c r="F9" s="31">
        <v>113.16462067037429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7476800000</v>
      </c>
      <c r="C5" s="18">
        <v>6889100000</v>
      </c>
      <c r="D5" s="18">
        <v>6506800000</v>
      </c>
      <c r="E5" s="18">
        <v>6060900000</v>
      </c>
      <c r="F5" s="6" t="s">
        <v>91</v>
      </c>
    </row>
    <row r="6" spans="1:6" x14ac:dyDescent="0.25">
      <c r="A6" t="s">
        <v>51</v>
      </c>
      <c r="B6" s="18">
        <v>1300600000</v>
      </c>
      <c r="C6" s="18">
        <v>1188600000</v>
      </c>
      <c r="D6" s="18">
        <v>1017100000</v>
      </c>
      <c r="E6" s="18">
        <v>936400000</v>
      </c>
      <c r="F6" s="6" t="s">
        <v>92</v>
      </c>
    </row>
    <row r="7" spans="1:6" x14ac:dyDescent="0.25">
      <c r="A7" t="s">
        <v>93</v>
      </c>
      <c r="B7" s="18">
        <v>341300000</v>
      </c>
      <c r="C7" s="18">
        <v>327300000</v>
      </c>
      <c r="D7" s="18">
        <v>320100000</v>
      </c>
      <c r="E7" s="18">
        <v>298800000</v>
      </c>
      <c r="F7" s="6" t="s">
        <v>94</v>
      </c>
    </row>
    <row r="8" spans="1:6" x14ac:dyDescent="0.25">
      <c r="A8" t="s">
        <v>95</v>
      </c>
      <c r="B8" s="18">
        <v>112600000</v>
      </c>
      <c r="C8" s="18">
        <v>114900000</v>
      </c>
      <c r="D8" s="18">
        <v>113000000</v>
      </c>
      <c r="E8" s="18">
        <v>75200000</v>
      </c>
      <c r="F8" s="6" t="s">
        <v>96</v>
      </c>
    </row>
    <row r="9" spans="1:6" x14ac:dyDescent="0.25">
      <c r="A9" t="s">
        <v>97</v>
      </c>
      <c r="B9" s="18">
        <v>218600000</v>
      </c>
      <c r="C9" s="18">
        <v>224600000</v>
      </c>
      <c r="D9" s="18">
        <v>31200000</v>
      </c>
      <c r="E9" s="18">
        <v>229700000</v>
      </c>
      <c r="F9" s="6" t="s">
        <v>98</v>
      </c>
    </row>
    <row r="10" spans="1:6" x14ac:dyDescent="0.25">
      <c r="A10" t="s">
        <v>99</v>
      </c>
      <c r="B10" s="18">
        <v>3517600000</v>
      </c>
      <c r="C10" s="18">
        <v>3459000000</v>
      </c>
      <c r="D10" s="18">
        <v>3576900000</v>
      </c>
      <c r="E10" s="18">
        <v>3652600000</v>
      </c>
      <c r="F10" s="6" t="s">
        <v>100</v>
      </c>
    </row>
    <row r="11" spans="1:6" x14ac:dyDescent="0.25">
      <c r="A11" t="s">
        <v>101</v>
      </c>
      <c r="B11" s="18">
        <v>402900000</v>
      </c>
      <c r="C11" s="18">
        <v>561500000</v>
      </c>
      <c r="D11" s="18">
        <v>304400000</v>
      </c>
      <c r="E11" s="18">
        <v>252300000</v>
      </c>
      <c r="F11" s="6" t="s">
        <v>102</v>
      </c>
    </row>
    <row r="12" spans="1:6" x14ac:dyDescent="0.25">
      <c r="A12" t="s">
        <v>34</v>
      </c>
      <c r="B12" s="34">
        <v>117100000</v>
      </c>
      <c r="C12" s="34">
        <v>118300000</v>
      </c>
      <c r="D12" s="34">
        <v>119100000</v>
      </c>
      <c r="E12" s="34">
        <v>119000000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