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<sst xmlns="http://schemas.openxmlformats.org/spreadsheetml/2006/main" count="113" uniqueCount="101">
  <si>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Burberry Group plc (BRBY.L)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</si>
  <si>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</si>
  <si>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</si>
  <si>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</si>
  <si>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</si>
  <si>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</si>
  <si>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</si>
  <si>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</si>
  <si>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</si>
  <si>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</si>
  <si>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</si>
  <si>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</si>
  <si>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</si>
  <si>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</si>
  <si>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</si>
  <si>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</si>
  <si>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</si>
  <si>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</si>
  <si>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</si>
  <si>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</si>
  <si>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</si>
  <si>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</si>
  <si>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</si>
  <si>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</si>
  <si>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</si>
  <si>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</si>
  <si>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</si>
  <si>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</si>
  <si>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</si>
  <si>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</si>
  <si>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2026-03-31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</si>
  <si>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</si>
  <si>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</si>
  <si>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</si>
  <si>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</si>
  <si>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</si>
  <si>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</si>
  <si>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</si>
  <si>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</si>
  <si>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</si>
  <si>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</si>
  <si>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</si>
  <si>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</si>
  <si>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</si>
  <si>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</si>
  <si>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</si>
  <si>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</si>
  <si>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</si>
  <si>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</si>
  <si>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</si>
  <si>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</si>
  <si>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</si>
  <si>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</si>
  <si>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</si>
  <si>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</si>
  <si>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</si>
  <si>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</si>
  <si>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</si>
  <si>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</si>
  <si>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</si>
  <si>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</si>
  <si>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</si>
  <si>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</si>
  <si>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</si>
  <si>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</si>
  <si>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</si>
  <si>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</si>
  <si>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</si>
  <si>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</si>
  <si>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</si>
  <si>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</si>
  <si>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</si>
  <si>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</si>
  <si>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</si>
  <si>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</si>
  <si>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</si>
  <si>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</si>
  <si>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</si>
  <si>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</si>
  <si>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</si>
  <si>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</si>
  <si>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</si>
  <si>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</si>
  <si>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</si>
  <si>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</si>
  <si>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</si>
  <si>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</si>
  <si>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</si>
  <si>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</si>
  <si>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</si>
  <si>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</si>
  <si>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</si>
  <si>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</si>
  <si>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</si>
  <si>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</si>
  <si>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</si>
  <si>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</si>
  <si>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</si>
  <si>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Reported capital expenditure averages 5.94% of revenue against depreciation of 12.39%. A business cannot depreciate more than it invests indefinitely. Capex has been set to 12.39% of revenue so the forecast is not handed free growth. Override it if the reported figure is right.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</si>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</sst>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-0.07863505324106668</v>
      </c>
    </row>
    <row r="7" spans="1:2" x14ac:dyDescent="0.25">
      <c r="A7" t="s">
        <v>5</v>
      </c>
      <c r="B7" s="6">
        <v>0.10568800839415989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0.14041374759171085</v>
      </c>
    </row>
    <row r="10" spans="1:2" x14ac:dyDescent="0.25">
      <c r="A10" t="s">
        <v>8</v>
      </c>
      <c r="B10" s="6">
        <v>0.123855324826253</v>
      </c>
    </row>
    <row r="11" spans="1:2" x14ac:dyDescent="0.25">
      <c r="A11" t="s">
        <v>9</v>
      </c>
      <c r="B11" s="6">
        <v>0.14792899408284024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8.26126690093458</v>
      </c>
    </row>
    <row r="14" spans="1:3" x14ac:dyDescent="0.25">
      <c r="A14" t="s">
        <v>12</v>
      </c>
      <c r="B14" s="6">
        <v>0.1425746836543897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0.79163</v>
      </c>
      <c r="C19" s="8" t="s">
        <v>19</v>
      </c>
    </row>
    <row r="20" spans="1:2" x14ac:dyDescent="0.25">
      <c r="A20" t="s">
        <v>20</v>
      </c>
      <c r="B20" s="10">
        <f>B17+B19*B18</f>
        <v>0.08853965</v>
      </c>
    </row>
    <row r="21" spans="1:3" x14ac:dyDescent="0.25">
      <c r="A21" t="s">
        <v>21</v>
      </c>
      <c r="B21" s="6">
        <v>0.047577603713373946</v>
      </c>
      <c r="C21" s="8" t="s">
        <v>22</v>
      </c>
    </row>
    <row r="22" spans="1:2" x14ac:dyDescent="0.25">
      <c r="A22" t="s">
        <v>23</v>
      </c>
      <c r="B22" s="11">
        <v>3567777792</v>
      </c>
    </row>
    <row r="23" spans="1:2" x14ac:dyDescent="0.25">
      <c r="A23" t="s">
        <v>24</v>
      </c>
      <c r="B23" s="11">
        <v>1523000000</v>
      </c>
    </row>
    <row r="24" spans="1:2" x14ac:dyDescent="0.25">
      <c r="A24" t="s">
        <v>25</v>
      </c>
      <c r="B24" s="10">
        <f>B22/(B22+B23)</f>
        <v>0.7008315699040435</v>
      </c>
    </row>
    <row r="25" spans="1:2" x14ac:dyDescent="0.25">
      <c r="A25" t="s">
        <v>26</v>
      </c>
      <c r="B25" s="10">
        <f>1-B24</f>
        <v>0.2991684300959565</v>
      </c>
    </row>
    <row r="26" spans="1:2" x14ac:dyDescent="0.25">
      <c r="A26" t="s">
        <v>27</v>
      </c>
      <c r="B26" s="12">
        <f>B24*B20+B25*B21*(1-B8)</f>
        <v>0.07272666966624777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2420000000</v>
      </c>
      <c r="C29" s="8" t="s">
        <v>30</v>
      </c>
    </row>
    <row r="30" spans="1:2" x14ac:dyDescent="0.25">
      <c r="A30" t="s">
        <v>31</v>
      </c>
      <c r="B30" s="11">
        <v>852000000</v>
      </c>
    </row>
    <row r="31" spans="1:2" x14ac:dyDescent="0.25">
      <c r="A31" t="s">
        <v>32</v>
      </c>
      <c r="B31" s="13">
        <v>358199167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-0.07863505324106668</v>
      </c>
      <c r="C5" s="10">
        <f>Assumptions!B6</f>
        <v>-0.07863505324106668</v>
      </c>
      <c r="D5" s="10">
        <f>Assumptions!B6</f>
        <v>-0.07863505324106668</v>
      </c>
      <c r="E5" s="10">
        <f>Assumptions!B6</f>
        <v>-0.07863505324106668</v>
      </c>
      <c r="F5" s="10">
        <f>Assumptions!B6</f>
        <v>-0.07863505324106668</v>
      </c>
    </row>
    <row r="6" spans="1:6" x14ac:dyDescent="0.25">
      <c r="A6" t="s">
        <v>43</v>
      </c>
      <c r="B6" s="18">
        <f>Assumptions!B29*(1+B5)</f>
        <v>2229703171.1566186</v>
      </c>
      <c r="C6" s="18">
        <f>B6*(1+C5)</f>
        <v>2054370343.5809426</v>
      </c>
      <c r="D6" s="18">
        <f>C6*(1+D5)</f>
        <v>1892824822.2365868</v>
      </c>
      <c r="E6" s="18">
        <f>D6*(1+E5)</f>
        <v>1743982441.5640001</v>
      </c>
      <c r="F6" s="18">
        <f>E6*(1+F5)</f>
        <v>1606844289.4201295</v>
      </c>
    </row>
    <row r="7" spans="1:6" x14ac:dyDescent="0.25">
      <c r="A7" t="s">
        <v>5</v>
      </c>
      <c r="B7" s="10">
        <f>Assumptions!B7</f>
        <v>0.10568800839415989</v>
      </c>
      <c r="C7" s="10">
        <f>Assumptions!B7</f>
        <v>0.10568800839415989</v>
      </c>
      <c r="D7" s="10">
        <f>Assumptions!B7</f>
        <v>0.10568800839415989</v>
      </c>
      <c r="E7" s="10">
        <f>Assumptions!B7</f>
        <v>0.10568800839415989</v>
      </c>
      <c r="F7" s="10">
        <f>Assumptions!B7</f>
        <v>0.10568800839415989</v>
      </c>
    </row>
    <row r="8" spans="1:6" x14ac:dyDescent="0.25">
      <c r="A8" t="s">
        <v>44</v>
      </c>
      <c r="B8" s="18">
        <f>B6*B7</f>
        <v>235652887.4696856</v>
      </c>
      <c r="C8" s="18">
        <f>C6*C7</f>
        <v>217122310.1170958</v>
      </c>
      <c r="D8" s="18">
        <f>D6*D7</f>
        <v>200048885.70121458</v>
      </c>
      <c r="E8" s="18">
        <f>E6*E7</f>
        <v>184318030.9232835</v>
      </c>
      <c r="F8" s="18">
        <f>F6*F7</f>
        <v>169824172.7483425</v>
      </c>
    </row>
    <row r="9" spans="1:6" x14ac:dyDescent="0.25">
      <c r="A9" t="s">
        <v>45</v>
      </c>
      <c r="B9" s="18">
        <f>B8*(1-Assumptions!B8)</f>
        <v>176739665.60226423</v>
      </c>
      <c r="C9" s="18">
        <f>C8*(1-Assumptions!B8)</f>
        <v>162841732.58782184</v>
      </c>
      <c r="D9" s="18">
        <f>D8*(1-Assumptions!B8)</f>
        <v>150036664.27591094</v>
      </c>
      <c r="E9" s="18">
        <f>E8*(1-Assumptions!B8)</f>
        <v>138238523.19246262</v>
      </c>
      <c r="F9" s="18">
        <f>F8*(1-Assumptions!B8)</f>
        <v>127368129.56125689</v>
      </c>
    </row>
    <row r="10" spans="1:6" x14ac:dyDescent="0.25">
      <c r="A10" t="s">
        <v>46</v>
      </c>
      <c r="B10" s="18">
        <f>B6*Assumptions!B9</f>
        <v>313080978.2792227</v>
      </c>
      <c r="C10" s="18">
        <f>C6*Assumptions!B9</f>
        <v>288461838.8834708</v>
      </c>
      <c r="D10" s="18">
        <f>D6*Assumptions!B9</f>
        <v>265778626.82485306</v>
      </c>
      <c r="E10" s="18">
        <f>E6*Assumptions!B9</f>
        <v>244879110.35414314</v>
      </c>
      <c r="F10" s="18">
        <f>F6*Assumptions!B9</f>
        <v>225623028.47382006</v>
      </c>
    </row>
    <row r="11" spans="1:6" x14ac:dyDescent="0.25">
      <c r="A11" t="s">
        <v>47</v>
      </c>
      <c r="B11" s="18">
        <f>-B6*Assumptions!B10</f>
        <v>-276160610.52972937</v>
      </c>
      <c r="C11" s="18">
        <f>-C6*Assumptions!B10</f>
        <v>-254444706.21763864</v>
      </c>
      <c r="D11" s="18">
        <f>-D6*Assumptions!B10</f>
        <v>-234436433.19730705</v>
      </c>
      <c r="E11" s="18">
        <f>-E6*Assumptions!B10</f>
        <v>-216001511.791191</v>
      </c>
      <c r="F11" s="18">
        <f>-F6*Assumptions!B10</f>
        <v>-199016221.41133982</v>
      </c>
    </row>
    <row r="12" spans="1:6" x14ac:dyDescent="0.25">
      <c r="A12" t="s">
        <v>48</v>
      </c>
      <c r="B12" s="18">
        <f>-(B6-Assumptions!B29)*Assumptions!B11</f>
        <v>28150418.46795583</v>
      </c>
      <c r="C12" s="18">
        <f>-(C6-B6)*Assumptions!B11</f>
        <v>25936808.81296982</v>
      </c>
      <c r="D12" s="18">
        <f>-(D6-C6)*Assumptions!B11</f>
        <v>23897266.471058555</v>
      </c>
      <c r="E12" s="18">
        <f>-(E6-D6)*Assumptions!B11</f>
        <v>22018103.64979093</v>
      </c>
      <c r="F12" s="18">
        <f>-(F6-E6)*Assumptions!B11</f>
        <v>20286708.897022277</v>
      </c>
    </row>
    <row r="13" spans="1:6" x14ac:dyDescent="0.25">
      <c r="A13" s="19" t="s">
        <v>49</v>
      </c>
      <c r="B13" s="20">
        <f>B9+B10+B11+B12</f>
        <v>241810451.8197134</v>
      </c>
      <c r="C13" s="20">
        <f>C9+C10+C11+C12</f>
        <v>222795674.0666238</v>
      </c>
      <c r="D13" s="20">
        <f>D9+D10+D11+D12</f>
        <v>205276124.37451553</v>
      </c>
      <c r="E13" s="20">
        <f>E9+E10+E11+E12</f>
        <v>189134225.4052057</v>
      </c>
      <c r="F13" s="20">
        <f>F9+F10+F11+F12</f>
        <v>174261645.52075943</v>
      </c>
    </row>
    <row r="14" spans="1:6" x14ac:dyDescent="0.25">
      <c r="A14" t="s">
        <v>50</v>
      </c>
      <c r="B14" s="21">
        <f>1/(1+Assumptions!$B$26)^(1-0.5*Assumptions!$B$32)</f>
        <v>0.9655070760448831</v>
      </c>
      <c r="C14" s="21">
        <f>1/(1+Assumptions!$B$26)^(2-0.5*Assumptions!$B$32)</f>
        <v>0.9000494751801745</v>
      </c>
      <c r="D14" s="21">
        <f>1/(1+Assumptions!$B$26)^(3-0.5*Assumptions!$B$32)</f>
        <v>0.8390296434600647</v>
      </c>
      <c r="E14" s="21">
        <f>1/(1+Assumptions!$B$26)^(4-0.5*Assumptions!$B$32)</f>
        <v>0.782146717505502</v>
      </c>
      <c r="F14" s="21">
        <f>1/(1+Assumptions!$B$26)^(5-0.5*Assumptions!$B$32)</f>
        <v>0.7291202312969878</v>
      </c>
    </row>
    <row r="15" spans="1:6" x14ac:dyDescent="0.25">
      <c r="A15" s="19" t="s">
        <v>51</v>
      </c>
      <c r="B15" s="20">
        <f>B13*B14</f>
        <v>233469702.29354358</v>
      </c>
      <c r="C15" s="20">
        <f>C13*C14</f>
        <v>200527129.51607797</v>
      </c>
      <c r="D15" s="20">
        <f>D13*D14</f>
        <v>172232753.44481367</v>
      </c>
      <c r="E15" s="20">
        <f>E13*E14</f>
        <v>147930713.56862736</v>
      </c>
      <c r="F15" s="20">
        <f>F13*F14</f>
        <v>127057691.28828982</v>
      </c>
    </row>
    <row r="17" spans="1:2" x14ac:dyDescent="0.25">
      <c r="A17" s="22" t="s">
        <v>52</v>
      </c>
      <c r="B17" s="23">
        <f>SUM(B15:F15)</f>
        <v>881217990.1113524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174261645.52075943</v>
      </c>
    </row>
    <row r="5" spans="1:2" x14ac:dyDescent="0.25">
      <c r="A5" t="s">
        <v>56</v>
      </c>
      <c r="B5" s="18">
        <f>IF(Assumptions!$B$33=0,B4,B4-Forecast!F11-Forecast!F10-Forecast!F12)</f>
        <v>147323234.85811707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0.17534669801969632</v>
      </c>
    </row>
    <row r="7" spans="1:2" x14ac:dyDescent="0.25">
      <c r="A7" t="s">
        <v>58</v>
      </c>
      <c r="B7" s="18">
        <f>-MAX(Forecast!F9,0)*B6</f>
        <v>-25832642.773951054</v>
      </c>
    </row>
    <row r="8" spans="1:2" x14ac:dyDescent="0.25">
      <c r="A8" t="s">
        <v>59</v>
      </c>
      <c r="B8" s="18">
        <f>IF(OR(Assumptions!$B$33=0,Assumptions!B12&lt;=0),B5,MAX(B5+B7,0))</f>
        <v>121490592.08416602</v>
      </c>
    </row>
    <row r="9" spans="1:2" x14ac:dyDescent="0.25">
      <c r="A9" t="s">
        <v>60</v>
      </c>
      <c r="B9" s="18">
        <f>B8*(1+Assumptions!B12)/(Assumptions!B26-Assumptions!B12)</f>
        <v>2609188065.2283616</v>
      </c>
    </row>
    <row r="10" spans="1:2" x14ac:dyDescent="0.25">
      <c r="A10" t="s">
        <v>61</v>
      </c>
      <c r="B10" s="18">
        <f>B9/(1+Assumptions!B26)^(5-0.5*Assumptions!B32)</f>
        <v>1902411805.616643</v>
      </c>
    </row>
    <row r="11" spans="1:2" x14ac:dyDescent="0.25">
      <c r="A11" t="s">
        <v>62</v>
      </c>
      <c r="B11" s="18">
        <f>Forecast!B17+B10</f>
        <v>2783629795.7279954</v>
      </c>
    </row>
    <row r="12" spans="1:2" x14ac:dyDescent="0.25">
      <c r="A12" t="s">
        <v>63</v>
      </c>
      <c r="B12" s="18">
        <f>-Assumptions!B30</f>
        <v>-852000000</v>
      </c>
    </row>
    <row r="13" spans="1:2" x14ac:dyDescent="0.25">
      <c r="A13" t="s">
        <v>64</v>
      </c>
      <c r="B13" s="18">
        <f>B11+B12</f>
        <v>1931629795.7279954</v>
      </c>
    </row>
    <row r="14" spans="1:2" x14ac:dyDescent="0.25">
      <c r="A14" s="19" t="s">
        <v>65</v>
      </c>
      <c r="B14" s="24">
        <f>B13/Assumptions!B31</f>
        <v>5.392613868719565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395447201.2221626</v>
      </c>
    </row>
    <row r="18" spans="1:2" x14ac:dyDescent="0.25">
      <c r="A18" t="s">
        <v>60</v>
      </c>
      <c r="B18" s="18">
        <f>B17*Assumptions!B13</f>
        <v>3266894874.523868</v>
      </c>
    </row>
    <row r="19" spans="1:2" x14ac:dyDescent="0.25">
      <c r="A19" t="s">
        <v>61</v>
      </c>
      <c r="B19" s="18">
        <f>B18/(1+Assumptions!B26)^(5-0.5*Assumptions!B32)</f>
        <v>2381959146.5357866</v>
      </c>
    </row>
    <row r="20" spans="1:2" x14ac:dyDescent="0.25">
      <c r="A20" t="s">
        <v>62</v>
      </c>
      <c r="B20" s="18">
        <f>Forecast!B17+B19</f>
        <v>3263177136.647139</v>
      </c>
    </row>
    <row r="21" spans="1:2" x14ac:dyDescent="0.25">
      <c r="A21" t="s">
        <v>63</v>
      </c>
      <c r="B21" s="18">
        <f>-Assumptions!B30</f>
        <v>-852000000</v>
      </c>
    </row>
    <row r="22" spans="1:2" x14ac:dyDescent="0.25">
      <c r="A22" t="s">
        <v>64</v>
      </c>
      <c r="B22" s="18">
        <f>B20+B21</f>
        <v>2411177136.647139</v>
      </c>
    </row>
    <row r="23" spans="1:2" x14ac:dyDescent="0.25">
      <c r="A23" s="19" t="s">
        <v>65</v>
      </c>
      <c r="B23" s="25">
        <f>B22/Assumptions!B31</f>
        <v>6.731386778035525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996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539.2613868719565</v>
      </c>
    </row>
    <row r="29" spans="1:2" x14ac:dyDescent="0.25">
      <c r="A29" s="19" t="s">
        <v>73</v>
      </c>
      <c r="B29" s="12">
        <f>B28/B26-1</f>
        <v>-0.4585729047470317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0.052727</v>
      </c>
      <c r="B5" s="31">
        <v>8.043478857079842</v>
      </c>
      <c r="C5" s="31">
        <v>8.931759111702469</v>
      </c>
      <c r="D5" s="31">
        <v>10.136277785679962</v>
      </c>
      <c r="E5" s="31">
        <v>11.86575474042486</v>
      </c>
      <c r="F5" s="31">
        <v>14.564392278160396</v>
      </c>
    </row>
    <row r="6" spans="1:6" x14ac:dyDescent="0.25">
      <c r="A6" s="30">
        <v>0.062727</v>
      </c>
      <c r="B6" s="31">
        <v>6.085106806613544</v>
      </c>
      <c r="C6" s="31">
        <v>6.552526924281044</v>
      </c>
      <c r="D6" s="31">
        <v>7.140934896126544</v>
      </c>
      <c r="E6" s="31">
        <v>7.905783950758534</v>
      </c>
      <c r="F6" s="31">
        <v>8.942526760366478</v>
      </c>
    </row>
    <row r="7" spans="1:6" x14ac:dyDescent="0.25">
      <c r="A7" s="30">
        <v>0.072727</v>
      </c>
      <c r="B7" s="31">
        <v>4.799528590911334</v>
      </c>
      <c r="C7" s="31">
        <v>5.0689272032768775</v>
      </c>
      <c r="D7" s="32">
        <v>5.392568083964491</v>
      </c>
      <c r="E7" s="31">
        <v>5.789493852976308</v>
      </c>
      <c r="F7" s="31">
        <v>6.288842086182736</v>
      </c>
    </row>
    <row r="8" spans="1:6" x14ac:dyDescent="0.25">
      <c r="A8" s="30">
        <v>0.082727</v>
      </c>
      <c r="B8" s="31">
        <v>3.888977862688184</v>
      </c>
      <c r="C8" s="31">
        <v>4.052911267961291</v>
      </c>
      <c r="D8" s="31">
        <v>4.24349545051455</v>
      </c>
      <c r="E8" s="31">
        <v>4.4683121362038225</v>
      </c>
      <c r="F8" s="31">
        <v>4.738120173208135</v>
      </c>
    </row>
    <row r="9" spans="1:6" x14ac:dyDescent="0.25">
      <c r="A9" s="30">
        <v>0.092727</v>
      </c>
      <c r="B9" s="31">
        <v>3.20891153601593</v>
      </c>
      <c r="C9" s="31">
        <v>3.311841795790917</v>
      </c>
      <c r="D9" s="31">
        <v>3.428540946742878</v>
      </c>
      <c r="E9" s="31">
        <v>3.562301564120985</v>
      </c>
      <c r="F9" s="31">
        <v>3.7175569632957237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2420000000</v>
      </c>
      <c r="C5" s="18">
        <v>2461000000</v>
      </c>
      <c r="D5" s="18">
        <v>2968000000</v>
      </c>
      <c r="E5" s="18">
        <v>3094000000</v>
      </c>
      <c r="F5" s="8" t="s">
        <v>84</v>
      </c>
    </row>
    <row r="6" spans="1:6" x14ac:dyDescent="0.25">
      <c r="A6" t="s">
        <v>44</v>
      </c>
      <c r="B6" s="18">
        <v>160000000</v>
      </c>
      <c r="C6" s="18">
        <v>26000000</v>
      </c>
      <c r="D6" s="18">
        <v>418000000</v>
      </c>
      <c r="E6" s="18">
        <v>635000000</v>
      </c>
      <c r="F6" s="8" t="s">
        <v>85</v>
      </c>
    </row>
    <row r="7" spans="1:6" x14ac:dyDescent="0.25">
      <c r="A7" t="s">
        <v>86</v>
      </c>
      <c r="B7" s="18">
        <v>375000000</v>
      </c>
      <c r="C7" s="18">
        <v>413000000</v>
      </c>
      <c r="D7" s="18">
        <v>379000000</v>
      </c>
      <c r="E7" s="18">
        <v>344000000</v>
      </c>
      <c r="F7" s="8" t="s">
        <v>87</v>
      </c>
    </row>
    <row r="8" spans="1:6" x14ac:dyDescent="0.25">
      <c r="A8" t="s">
        <v>88</v>
      </c>
      <c r="B8" s="18">
        <v>114000000</v>
      </c>
      <c r="C8" s="18">
        <v>151000000</v>
      </c>
      <c r="D8" s="18">
        <v>212000000</v>
      </c>
      <c r="E8" s="18">
        <v>179000000</v>
      </c>
      <c r="F8" s="8" t="s">
        <v>89</v>
      </c>
    </row>
    <row r="9" spans="1:6" x14ac:dyDescent="0.25">
      <c r="A9" t="s">
        <v>90</v>
      </c>
      <c r="B9" s="18">
        <v>-41000000</v>
      </c>
      <c r="C9" s="18">
        <v>-75000000</v>
      </c>
      <c r="D9" s="18">
        <v>166000000</v>
      </c>
      <c r="E9" s="18">
        <v>76000000</v>
      </c>
      <c r="F9" s="8" t="s">
        <v>91</v>
      </c>
    </row>
    <row r="10" spans="1:6" x14ac:dyDescent="0.25">
      <c r="A10" t="s">
        <v>92</v>
      </c>
      <c r="B10" s="18">
        <v>1523000000</v>
      </c>
      <c r="C10" s="18">
        <v>1924000000</v>
      </c>
      <c r="D10" s="18">
        <v>1566000000</v>
      </c>
      <c r="E10" s="18">
        <v>1486000000</v>
      </c>
      <c r="F10" s="8" t="s">
        <v>93</v>
      </c>
    </row>
    <row r="11" spans="1:6" x14ac:dyDescent="0.25">
      <c r="A11" t="s">
        <v>94</v>
      </c>
      <c r="B11" s="18">
        <v>671000000</v>
      </c>
      <c r="C11" s="18">
        <v>813000000</v>
      </c>
      <c r="D11" s="18">
        <v>441000000</v>
      </c>
      <c r="E11" s="18">
        <v>1026000000</v>
      </c>
      <c r="F11" s="8" t="s">
        <v>95</v>
      </c>
    </row>
    <row r="12" spans="1:6" x14ac:dyDescent="0.25">
      <c r="A12" t="s">
        <v>32</v>
      </c>
      <c r="B12" s="34">
        <v>358199167</v>
      </c>
      <c r="C12" s="34">
        <v>358400000</v>
      </c>
      <c r="D12" s="34">
        <v>366200000</v>
      </c>
      <c r="E12" s="34">
        <v>388000000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2026-09-19T00:08:36Z</dcterms:modified>
</cp:coreProperties>
</file>