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<sst xmlns="http://schemas.openxmlformats.org/spreadsheetml/2006/main" count="112" uniqueCount="100">
  <si>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Breville Group Limited (BRG.AX)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</si>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</sst>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0.06992197197091188</v>
      </c>
    </row>
    <row r="7" spans="1:2" x14ac:dyDescent="0.25">
      <c r="A7" t="s">
        <v>5</v>
      </c>
      <c r="B7" s="6">
        <v>0.1180762790964863</v>
      </c>
    </row>
    <row r="8" spans="1:2" x14ac:dyDescent="0.25">
      <c r="A8" t="s">
        <v>6</v>
      </c>
      <c r="B8" s="6">
        <v>0.2846743352583888</v>
      </c>
    </row>
    <row r="9" spans="1:2" x14ac:dyDescent="0.25">
      <c r="A9" t="s">
        <v>7</v>
      </c>
      <c r="B9" s="6">
        <v>0.038136612506309925</v>
      </c>
    </row>
    <row r="10" spans="1:2" x14ac:dyDescent="0.25">
      <c r="A10" t="s">
        <v>8</v>
      </c>
      <c r="B10" s="6">
        <v>0.04644271029674848</v>
      </c>
    </row>
    <row r="11" spans="1:2" x14ac:dyDescent="0.25">
      <c r="A11" t="s">
        <v>9</v>
      </c>
      <c r="B11" s="6">
        <v>0.3473610564519655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14.968556902510482</v>
      </c>
    </row>
    <row r="14" spans="1:3" x14ac:dyDescent="0.25">
      <c r="A14" t="s">
        <v>12</v>
      </c>
      <c r="B14" s="6">
        <v>0.1351673493094792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1.17286</v>
      </c>
      <c r="C19" s="8" t="s">
        <v>19</v>
      </c>
    </row>
    <row r="20" spans="1:2" x14ac:dyDescent="0.25">
      <c r="A20" t="s">
        <v>20</v>
      </c>
      <c r="B20" s="10">
        <f>B17+B19*B18</f>
        <v>0.12385159999999999</v>
      </c>
    </row>
    <row r="21" spans="1:3" x14ac:dyDescent="0.25">
      <c r="A21" t="s">
        <v>21</v>
      </c>
      <c r="B21" s="6">
        <v>0.08713242731301837</v>
      </c>
      <c r="C21" s="8" t="s">
        <v>22</v>
      </c>
    </row>
    <row r="22" spans="1:2" x14ac:dyDescent="0.25">
      <c r="A22" t="s">
        <v>23</v>
      </c>
      <c r="B22" s="11">
        <v>4306050560</v>
      </c>
    </row>
    <row r="23" spans="1:2" x14ac:dyDescent="0.25">
      <c r="A23" t="s">
        <v>24</v>
      </c>
      <c r="B23" s="11">
        <v>153421000</v>
      </c>
    </row>
    <row r="24" spans="1:2" x14ac:dyDescent="0.25">
      <c r="A24" t="s">
        <v>25</v>
      </c>
      <c r="B24" s="10">
        <f>B22/(B22+B23)</f>
        <v>0.9655965963823749</v>
      </c>
    </row>
    <row r="25" spans="1:2" x14ac:dyDescent="0.25">
      <c r="A25" t="s">
        <v>26</v>
      </c>
      <c r="B25" s="10">
        <f>1-B24</f>
        <v>0.03440340361762506</v>
      </c>
    </row>
    <row r="26" spans="1:2" x14ac:dyDescent="0.25">
      <c r="A26" t="s">
        <v>27</v>
      </c>
      <c r="B26" s="12">
        <f>B24*B20+B25*B21*(1-B8)</f>
        <v>0.12173498087259524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1810896000</v>
      </c>
      <c r="C29" s="8" t="s">
        <v>30</v>
      </c>
    </row>
    <row r="30" spans="1:2" x14ac:dyDescent="0.25">
      <c r="A30" t="s">
        <v>31</v>
      </c>
      <c r="B30" s="11">
        <v>-39937000</v>
      </c>
    </row>
    <row r="31" spans="1:2" x14ac:dyDescent="0.25">
      <c r="A31" t="s">
        <v>32</v>
      </c>
      <c r="B31" s="13">
        <v>146943617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0.06992197197091188</v>
      </c>
      <c r="C5" s="10">
        <f>Assumptions!B6</f>
        <v>0.06992197197091188</v>
      </c>
      <c r="D5" s="10">
        <f>Assumptions!B6</f>
        <v>0.06992197197091188</v>
      </c>
      <c r="E5" s="10">
        <f>Assumptions!B6</f>
        <v>0.06992197197091188</v>
      </c>
      <c r="F5" s="10">
        <f>Assumptions!B6</f>
        <v>0.06992197197091188</v>
      </c>
    </row>
    <row r="6" spans="1:6" x14ac:dyDescent="0.25">
      <c r="A6" t="s">
        <v>43</v>
      </c>
      <c r="B6" s="18">
        <f>Assumptions!B29*(1+B5)</f>
        <v>1937517419.3542364</v>
      </c>
      <c r="C6" s="18">
        <f>B6*(1+C5)</f>
        <v>2072992458.0434768</v>
      </c>
      <c r="D6" s="18">
        <f>C6*(1+D5)</f>
        <v>2217940178.5907044</v>
      </c>
      <c r="E6" s="18">
        <f>D6*(1+E5)</f>
        <v>2373022929.591283</v>
      </c>
      <c r="F6" s="18">
        <f>E6*(1+F5)</f>
        <v>2538949372.3604956</v>
      </c>
    </row>
    <row r="7" spans="1:6" x14ac:dyDescent="0.25">
      <c r="A7" t="s">
        <v>5</v>
      </c>
      <c r="B7" s="10">
        <f>Assumptions!B7</f>
        <v>0.1180762790964863</v>
      </c>
      <c r="C7" s="10">
        <f>Assumptions!B7</f>
        <v>0.1180762790964863</v>
      </c>
      <c r="D7" s="10">
        <f>Assumptions!B7</f>
        <v>0.1180762790964863</v>
      </c>
      <c r="E7" s="10">
        <f>Assumptions!B7</f>
        <v>0.1180762790964863</v>
      </c>
      <c r="F7" s="10">
        <f>Assumptions!B7</f>
        <v>0.1180762790964863</v>
      </c>
    </row>
    <row r="8" spans="1:6" x14ac:dyDescent="0.25">
      <c r="A8" t="s">
        <v>44</v>
      </c>
      <c r="B8" s="18">
        <f>B6*B7</f>
        <v>228774847.5619747</v>
      </c>
      <c r="C8" s="18">
        <f>C6*C7</f>
        <v>244771236.04085273</v>
      </c>
      <c r="D8" s="18">
        <f>D6*D7</f>
        <v>261886123.5465867</v>
      </c>
      <c r="E8" s="18">
        <f>E6*E7</f>
        <v>280197717.73678184</v>
      </c>
      <c r="F8" s="18">
        <f>F6*F7</f>
        <v>299789694.7026866</v>
      </c>
    </row>
    <row r="9" spans="1:6" x14ac:dyDescent="0.25">
      <c r="A9" t="s">
        <v>45</v>
      </c>
      <c r="B9" s="18">
        <f>B8*(1-Assumptions!B8)</f>
        <v>163648519.90843034</v>
      </c>
      <c r="C9" s="18">
        <f>C8*(1-Assumptions!B8)</f>
        <v>175091147.1305488</v>
      </c>
      <c r="D9" s="18">
        <f>D8*(1-Assumptions!B8)</f>
        <v>187333865.41256583</v>
      </c>
      <c r="E9" s="18">
        <f>E8*(1-Assumptions!B8)</f>
        <v>200432618.6991458</v>
      </c>
      <c r="F9" s="18">
        <f>F8*(1-Assumptions!B8)</f>
        <v>214447262.64588398</v>
      </c>
    </row>
    <row r="10" spans="1:6" x14ac:dyDescent="0.25">
      <c r="A10" t="s">
        <v>46</v>
      </c>
      <c r="B10" s="18">
        <f>B6*Assumptions!B9</f>
        <v>73890351.04613811</v>
      </c>
      <c r="C10" s="18">
        <f>C6*Assumptions!B9</f>
        <v>79056910.10090701</v>
      </c>
      <c r="D10" s="18">
        <f>D6*Assumptions!B9</f>
        <v>84584725.15308952</v>
      </c>
      <c r="E10" s="18">
        <f>E6*Assumptions!B9</f>
        <v>90499055.93441114</v>
      </c>
      <c r="F10" s="18">
        <f>F6*Assumptions!B9</f>
        <v>96826928.38685101</v>
      </c>
    </row>
    <row r="11" spans="1:6" x14ac:dyDescent="0.25">
      <c r="A11" t="s">
        <v>47</v>
      </c>
      <c r="B11" s="18">
        <f>-B6*Assumptions!B10</f>
        <v>-89983560.20197253</v>
      </c>
      <c r="C11" s="18">
        <f>-C6*Assumptions!B10</f>
        <v>-96275388.17625771</v>
      </c>
      <c r="D11" s="18">
        <f>-D6*Assumptions!B10</f>
        <v>-103007153.16980667</v>
      </c>
      <c r="E11" s="18">
        <f>-E6*Assumptions!B10</f>
        <v>-110209616.44654931</v>
      </c>
      <c r="F11" s="18">
        <f>-F6*Assumptions!B10</f>
        <v>-117915690.15864988</v>
      </c>
    </row>
    <row r="12" spans="1:6" x14ac:dyDescent="0.25">
      <c r="A12" t="s">
        <v>48</v>
      </c>
      <c r="B12" s="18">
        <f>-(B6-Assumptions!B29)*Assumptions!B11</f>
        <v>-43983349.996334895</v>
      </c>
      <c r="C12" s="18">
        <f>-(C6-B6)*Assumptions!B11</f>
        <v>-47058752.561965466</v>
      </c>
      <c r="D12" s="18">
        <f>-(D6-C6)*Assumptions!B11</f>
        <v>-50349193.33958925</v>
      </c>
      <c r="E12" s="18">
        <f>-(E6-D6)*Assumptions!B11</f>
        <v>-53869708.22503803</v>
      </c>
      <c r="F12" s="18">
        <f>-(F6-E6)*Assumptions!B11</f>
        <v>-57636384.45363033</v>
      </c>
    </row>
    <row r="13" spans="1:6" x14ac:dyDescent="0.25">
      <c r="A13" s="19" t="s">
        <v>49</v>
      </c>
      <c r="B13" s="20">
        <f>B9+B10+B11+B12</f>
        <v>103571960.756261</v>
      </c>
      <c r="C13" s="20">
        <f>C9+C10+C11+C12</f>
        <v>110813916.49323261</v>
      </c>
      <c r="D13" s="20">
        <f>D9+D10+D11+D12</f>
        <v>118562244.05625944</v>
      </c>
      <c r="E13" s="20">
        <f>E9+E10+E11+E12</f>
        <v>126852349.96196964</v>
      </c>
      <c r="F13" s="20">
        <f>F9+F10+F11+F12</f>
        <v>135722116.4204548</v>
      </c>
    </row>
    <row r="14" spans="1:6" x14ac:dyDescent="0.25">
      <c r="A14" t="s">
        <v>50</v>
      </c>
      <c r="B14" s="21">
        <f>1/(1+Assumptions!$B$26)^(1-0.5*Assumptions!$B$32)</f>
        <v>0.9441801554710804</v>
      </c>
      <c r="C14" s="21">
        <f>1/(1+Assumptions!$B$26)^(2-0.5*Assumptions!$B$32)</f>
        <v>0.8417141049988517</v>
      </c>
      <c r="D14" s="21">
        <f>1/(1+Assumptions!$B$26)^(3-0.5*Assumptions!$B$32)</f>
        <v>0.7503680631802034</v>
      </c>
      <c r="E14" s="21">
        <f>1/(1+Assumptions!$B$26)^(4-0.5*Assumptions!$B$32)</f>
        <v>0.6689352440417733</v>
      </c>
      <c r="F14" s="21">
        <f>1/(1+Assumptions!$B$26)^(5-0.5*Assumptions!$B$32)</f>
        <v>0.5963398266508637</v>
      </c>
    </row>
    <row r="15" spans="1:6" x14ac:dyDescent="0.25">
      <c r="A15" s="19" t="s">
        <v>51</v>
      </c>
      <c r="B15" s="20">
        <f>B13*B14</f>
        <v>97790590.00929116</v>
      </c>
      <c r="C15" s="20">
        <f>C13*C14</f>
        <v>93273636.54251878</v>
      </c>
      <c r="D15" s="20">
        <f>D13*D14</f>
        <v>88965321.43879399</v>
      </c>
      <c r="E15" s="20">
        <f>E13*E14</f>
        <v>84856007.67908259</v>
      </c>
      <c r="F15" s="20">
        <f>F13*F14</f>
        <v>80936503.37886237</v>
      </c>
    </row>
    <row r="17" spans="1:2" x14ac:dyDescent="0.25">
      <c r="A17" s="22" t="s">
        <v>52</v>
      </c>
      <c r="B17" s="23">
        <f>SUM(B15:F15)</f>
        <v>445822059.0485489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135722116.4204548</v>
      </c>
    </row>
    <row r="5" spans="1:2" x14ac:dyDescent="0.25">
      <c r="A5" t="s">
        <v>56</v>
      </c>
      <c r="B5" s="18">
        <f>IF(Assumptions!$B$33=0,B4,B4-Forecast!F11-Forecast!F10-Forecast!F12)</f>
        <v>214447262.64588398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0.18495590930587824</v>
      </c>
    </row>
    <row r="7" spans="1:2" x14ac:dyDescent="0.25">
      <c r="A7" t="s">
        <v>58</v>
      </c>
      <c r="B7" s="18">
        <f>-MAX(Forecast!F9,0)*B6</f>
        <v>-39663288.460825965</v>
      </c>
    </row>
    <row r="8" spans="1:2" x14ac:dyDescent="0.25">
      <c r="A8" t="s">
        <v>59</v>
      </c>
      <c r="B8" s="18">
        <f>IF(OR(Assumptions!$B$33=0,Assumptions!B12&lt;=0),B5,MAX(B5+B7,0))</f>
        <v>174783974.185058</v>
      </c>
    </row>
    <row r="9" spans="1:2" x14ac:dyDescent="0.25">
      <c r="A9" t="s">
        <v>60</v>
      </c>
      <c r="B9" s="18">
        <f>B8*(1+Assumptions!B12)/(Assumptions!B26-Assumptions!B12)</f>
        <v>1852004020.920194</v>
      </c>
    </row>
    <row r="10" spans="1:2" x14ac:dyDescent="0.25">
      <c r="A10" t="s">
        <v>61</v>
      </c>
      <c r="B10" s="18">
        <f>B9/(1+Assumptions!B26)^(5-0.5*Assumptions!B32)</f>
        <v>1104423756.792251</v>
      </c>
    </row>
    <row r="11" spans="1:2" x14ac:dyDescent="0.25">
      <c r="A11" t="s">
        <v>62</v>
      </c>
      <c r="B11" s="18">
        <f>Forecast!B17+B10</f>
        <v>1550245815.8408</v>
      </c>
    </row>
    <row r="12" spans="1:2" x14ac:dyDescent="0.25">
      <c r="A12" t="s">
        <v>63</v>
      </c>
      <c r="B12" s="18">
        <f>-Assumptions!B30</f>
        <v>39937000</v>
      </c>
    </row>
    <row r="13" spans="1:2" x14ac:dyDescent="0.25">
      <c r="A13" t="s">
        <v>64</v>
      </c>
      <c r="B13" s="18">
        <f>B11+B12</f>
        <v>1590182815.8408</v>
      </c>
    </row>
    <row r="14" spans="1:2" x14ac:dyDescent="0.25">
      <c r="A14" s="19" t="s">
        <v>65</v>
      </c>
      <c r="B14" s="24">
        <f>B13/Assumptions!B31</f>
        <v>10.821720931510757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396616623.0895376</v>
      </c>
    </row>
    <row r="18" spans="1:2" x14ac:dyDescent="0.25">
      <c r="A18" t="s">
        <v>60</v>
      </c>
      <c r="B18" s="18">
        <f>B17*Assumptions!B13</f>
        <v>5936778491.197296</v>
      </c>
    </row>
    <row r="19" spans="1:2" x14ac:dyDescent="0.25">
      <c r="A19" t="s">
        <v>61</v>
      </c>
      <c r="B19" s="18">
        <f>B18/(1+Assumptions!B26)^(5-0.5*Assumptions!B32)</f>
        <v>3540337456.305172</v>
      </c>
    </row>
    <row r="20" spans="1:2" x14ac:dyDescent="0.25">
      <c r="A20" t="s">
        <v>62</v>
      </c>
      <c r="B20" s="18">
        <f>Forecast!B17+B19</f>
        <v>3986159515.3537207</v>
      </c>
    </row>
    <row r="21" spans="1:2" x14ac:dyDescent="0.25">
      <c r="A21" t="s">
        <v>63</v>
      </c>
      <c r="B21" s="18">
        <f>-Assumptions!B30</f>
        <v>39937000</v>
      </c>
    </row>
    <row r="22" spans="1:2" x14ac:dyDescent="0.25">
      <c r="A22" t="s">
        <v>64</v>
      </c>
      <c r="B22" s="18">
        <f>B20+B21</f>
        <v>4026096515.3537207</v>
      </c>
    </row>
    <row r="23" spans="1:2" x14ac:dyDescent="0.25">
      <c r="A23" s="19" t="s">
        <v>65</v>
      </c>
      <c r="B23" s="25">
        <f>B22/Assumptions!B31</f>
        <v>27.39892073946785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29.73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10.821720931510757</v>
      </c>
    </row>
    <row r="29" spans="1:2" x14ac:dyDescent="0.25">
      <c r="A29" s="19" t="s">
        <v>73</v>
      </c>
      <c r="B29" s="12">
        <f>B28/B26-1</f>
        <v>-0.6359999686676503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0.101735</v>
      </c>
      <c r="B5" s="31">
        <v>13.258637134278104</v>
      </c>
      <c r="C5" s="31">
        <v>13.474913535976517</v>
      </c>
      <c r="D5" s="31">
        <v>13.714825662476171</v>
      </c>
      <c r="E5" s="31">
        <v>13.983315813519427</v>
      </c>
      <c r="F5" s="31">
        <v>14.286807460570355</v>
      </c>
    </row>
    <row r="6" spans="1:6" x14ac:dyDescent="0.25">
      <c r="A6" s="30">
        <v>0.111735</v>
      </c>
      <c r="B6" s="31">
        <v>11.824093647750153</v>
      </c>
      <c r="C6" s="31">
        <v>11.956002617723726</v>
      </c>
      <c r="D6" s="31">
        <v>12.099255588861913</v>
      </c>
      <c r="E6" s="31">
        <v>12.255934411259165</v>
      </c>
      <c r="F6" s="31">
        <v>12.428663542710302</v>
      </c>
    </row>
    <row r="7" spans="1:6" x14ac:dyDescent="0.25">
      <c r="A7" s="30">
        <v>0.121735</v>
      </c>
      <c r="B7" s="31">
        <v>10.663372585344332</v>
      </c>
      <c r="C7" s="31">
        <v>10.740236722148998</v>
      </c>
      <c r="D7" s="32">
        <v>10.821718744214216</v>
      </c>
      <c r="E7" s="31">
        <v>10.908573742605645</v>
      </c>
      <c r="F7" s="31">
        <v>11.001730922890742</v>
      </c>
    </row>
    <row r="8" spans="1:6" x14ac:dyDescent="0.25">
      <c r="A8" s="30">
        <v>0.131735</v>
      </c>
      <c r="B8" s="31">
        <v>9.705848242295817</v>
      </c>
      <c r="C8" s="31">
        <v>9.745993039089583</v>
      </c>
      <c r="D8" s="31">
        <v>9.78700092507438</v>
      </c>
      <c r="E8" s="31">
        <v>9.828999155746006</v>
      </c>
      <c r="F8" s="31">
        <v>9.872141296724998</v>
      </c>
    </row>
    <row r="9" spans="1:6" x14ac:dyDescent="0.25">
      <c r="A9" s="30">
        <v>0.141735</v>
      </c>
      <c r="B9" s="31">
        <v>8.936302196373651</v>
      </c>
      <c r="C9" s="31">
        <v>8.964656485389579</v>
      </c>
      <c r="D9" s="31">
        <v>8.993010774405507</v>
      </c>
      <c r="E9" s="31">
        <v>9.021365063421435</v>
      </c>
      <c r="F9" s="31">
        <v>9.049719352437362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1810896000</v>
      </c>
      <c r="C5" s="18">
        <v>1696551000</v>
      </c>
      <c r="D5" s="18">
        <v>1529993000</v>
      </c>
      <c r="E5" s="18">
        <v>1478554000</v>
      </c>
      <c r="F5" s="8" t="s">
        <v>84</v>
      </c>
    </row>
    <row r="6" spans="1:6" x14ac:dyDescent="0.25">
      <c r="A6" t="s">
        <v>44</v>
      </c>
      <c r="B6" s="18">
        <v>207900000</v>
      </c>
      <c r="C6" s="18">
        <v>207464000</v>
      </c>
      <c r="D6" s="18">
        <v>183398000</v>
      </c>
      <c r="E6" s="18">
        <v>170545000</v>
      </c>
      <c r="F6" s="8" t="s">
        <v>85</v>
      </c>
    </row>
    <row r="7" spans="1:6" x14ac:dyDescent="0.25">
      <c r="A7" t="s">
        <v>86</v>
      </c>
      <c r="B7" s="18">
        <v>77105000</v>
      </c>
      <c r="C7" s="18">
        <v>67328000</v>
      </c>
      <c r="D7" s="18">
        <v>59785000</v>
      </c>
      <c r="E7" s="18">
        <v>46142000</v>
      </c>
      <c r="F7" s="8" t="s">
        <v>87</v>
      </c>
    </row>
    <row r="8" spans="1:6" x14ac:dyDescent="0.25">
      <c r="A8" t="s">
        <v>88</v>
      </c>
      <c r="B8" s="18">
        <v>90506000</v>
      </c>
      <c r="C8" s="18">
        <v>100404000</v>
      </c>
      <c r="D8" s="18">
        <v>62119000</v>
      </c>
      <c r="E8" s="18">
        <v>53243000</v>
      </c>
      <c r="F8" s="8" t="s">
        <v>89</v>
      </c>
    </row>
    <row r="9" spans="1:6" x14ac:dyDescent="0.25">
      <c r="A9" t="s">
        <v>90</v>
      </c>
      <c r="B9" s="18">
        <v>39719000</v>
      </c>
      <c r="C9" s="18">
        <v>86143000</v>
      </c>
      <c r="D9" s="18">
        <v>-116182000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153421000</v>
      </c>
      <c r="C10" s="18">
        <v>118464000</v>
      </c>
      <c r="D10" s="18">
        <v>155983000</v>
      </c>
      <c r="E10" s="18">
        <v>280494000</v>
      </c>
      <c r="F10" s="8" t="s">
        <v>93</v>
      </c>
    </row>
    <row r="11" spans="1:6" x14ac:dyDescent="0.25">
      <c r="A11" t="s">
        <v>94</v>
      </c>
      <c r="B11" s="18">
        <v>193358000</v>
      </c>
      <c r="C11" s="18">
        <v>105740000</v>
      </c>
      <c r="D11" s="18">
        <v>137772000</v>
      </c>
      <c r="E11" s="18">
        <v>84155000</v>
      </c>
      <c r="F11" s="8" t="s">
        <v>95</v>
      </c>
    </row>
    <row r="12" spans="1:6" x14ac:dyDescent="0.25">
      <c r="A12" t="s">
        <v>32</v>
      </c>
      <c r="B12" s="34">
        <v>146943617</v>
      </c>
      <c r="C12" s="34">
        <v>146079570</v>
      </c>
      <c r="D12" s="34">
        <v>144874083</v>
      </c>
      <c r="E12" s="34">
        <v>143874674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2026-09-19T00:07:53Z</dcterms:modified>
</cp:coreProperties>
</file>