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<sst xmlns="http://schemas.openxmlformats.org/spreadsheetml/2006/main" count="71" uniqueCount="68">
  <si>
    <t>Berkshire Hathaway Inc. (BRK-B)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</si>
  <si>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</si>
  <si>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</si>
  <si>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</si>
  <si>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</si>
  <si>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</si>
  <si>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</si>
  <si>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</si>
  <si>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</si>
  <si>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</si>
  <si>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</si>
  <si>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</si>
  <si>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</si>
  <si>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</si>
  <si>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</si>
  <si>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</si>
  <si>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</si>
  <si>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</si>
  <si>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</si>
  <si>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</si>
  <si>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</si>
  <si>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</si>
  <si>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</si>
  <si>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</si>
  <si>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</si>
  <si>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</si>
  <si>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</si>
  <si>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</si>
  <si>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</si>
  <si>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</si>
  <si>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</si>
  <si>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</si>
  <si>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</si>
  <si>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</si>
  <si>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</si>
  <si>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</si>
  <si>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</si>
  <si>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</si>
  <si>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</si>
  <si>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</si>
  <si>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</si>
  <si>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</si>
  <si>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</si>
  <si>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</si>
  <si>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</si>
  <si>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</si>
  <si>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</si>
  <si>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</si>
  <si>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</si>
  <si>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</si>
  <si>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</si>
  <si>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</si>
  <si>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</si>
  <si>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</si>
  <si>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</si>
  <si>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</si>
  <si>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</si>
  <si>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</si>
  <si>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</si>
  <si>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</si>
  <si>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not reported</t>
  </si>
  <si>
    <t>dilutedAverageShares</t>
  </si>
  <si>
    <t>Return on opening equity</t>
  </si>
  <si>
    <t>Payout</t>
  </si>
  <si>
    <t>Model notes</t>
  </si>
  <si>
    <t>Adjusted: Consensus rests on as few as 2 analyst estimate(s).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</si>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</sst>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0.7125699999999999</v>
      </c>
    </row>
    <row r="9" spans="1:2" x14ac:dyDescent="0.25">
      <c r="A9" t="s">
        <v>8</v>
      </c>
      <c r="B9" s="8">
        <f>B6+B8*B7</f>
        <v>0.079081711</v>
      </c>
    </row>
    <row r="10" spans="1:2" x14ac:dyDescent="0.25">
      <c r="A10" t="s">
        <v>9</v>
      </c>
      <c r="B10" s="8">
        <f>MEDIAN('Source data'!B9:E9)</f>
        <v>0.15855920380991068</v>
      </c>
    </row>
    <row r="11" spans="1:2" x14ac:dyDescent="0.25">
      <c r="A11" t="s">
        <v>10</v>
      </c>
      <c r="B11" s="8">
        <f>IFERROR(MIN(MAX(MEDIAN('Source data'!B10:E10),0),1),0)</f>
        <v>0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717419000000</v>
      </c>
    </row>
    <row r="15" spans="1:2" x14ac:dyDescent="0.25">
      <c r="A15" t="s">
        <v>14</v>
      </c>
      <c r="B15" s="10">
        <f>'Source data'!B8</f>
        <v>2157333421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0.15855920380991068</v>
      </c>
    </row>
    <row r="18" spans="1:2" x14ac:dyDescent="0.25">
      <c r="A18" t="s">
        <v>17</v>
      </c>
      <c r="B18" s="8">
        <f>MIN(B10,B12)</f>
        <v>0.15855920380991068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0.15855920380991068</v>
      </c>
      <c r="C22" s="8">
        <f>$B$10+($B$18-$B$10)*C21/$B$16</f>
        <v>0.15855920380991068</v>
      </c>
      <c r="D22" s="8">
        <f>$B$10+($B$18-$B$10)*D21/$B$16</f>
        <v>0.15855920380991068</v>
      </c>
      <c r="E22" s="8">
        <f>$B$10+($B$18-$B$10)*E21/$B$16</f>
        <v>0.15855920380991068</v>
      </c>
      <c r="F22" s="8">
        <f>$B$10+($B$18-$B$10)*F21/$B$16</f>
        <v>0.15855920380991068</v>
      </c>
      <c r="G22" s="8">
        <f>$B$10+($B$18-$B$10)*G21/$B$16</f>
        <v>0.15855920380991068</v>
      </c>
      <c r="H22" s="8">
        <f>$B$10+($B$18-$B$10)*H21/$B$16</f>
        <v>0.15855920380991068</v>
      </c>
      <c r="I22" s="8">
        <f>$B$10+($B$18-$B$10)*I21/$B$16</f>
        <v>0.15855920380991068</v>
      </c>
      <c r="J22" s="8">
        <f>$B$10+($B$18-$B$10)*J21/$B$16</f>
        <v>0.15855920380991068</v>
      </c>
      <c r="K22" s="8">
        <f>$B$10+($B$18-$B$10)*K21/$B$16</f>
        <v>0.15855920380991068</v>
      </c>
    </row>
    <row r="23" spans="1:11" x14ac:dyDescent="0.25">
      <c r="A23" t="s">
        <v>31</v>
      </c>
      <c r="B23" s="8">
        <f>$B$17+($B$13-$B$17)*B21/$B$16</f>
        <v>0.1452032834289196</v>
      </c>
      <c r="C23" s="8">
        <f>$B$17+($B$13-$B$17)*C21/$B$16</f>
        <v>0.13184736304792855</v>
      </c>
      <c r="D23" s="8">
        <f>$B$17+($B$13-$B$17)*D21/$B$16</f>
        <v>0.11849144266693748</v>
      </c>
      <c r="E23" s="8">
        <f>$B$17+($B$13-$B$17)*E21/$B$16</f>
        <v>0.1051355222859464</v>
      </c>
      <c r="F23" s="8">
        <f>$B$17+($B$13-$B$17)*F21/$B$16</f>
        <v>0.09177960190495534</v>
      </c>
      <c r="G23" s="8">
        <f>$B$17+($B$13-$B$17)*G21/$B$16</f>
        <v>0.07842368152396427</v>
      </c>
      <c r="H23" s="8">
        <f>$B$17+($B$13-$B$17)*H21/$B$16</f>
        <v>0.0650677611429732</v>
      </c>
      <c r="I23" s="8">
        <f>$B$17+($B$13-$B$17)*I21/$B$16</f>
        <v>0.051711840761982125</v>
      </c>
      <c r="J23" s="8">
        <f>$B$17+($B$13-$B$17)*J21/$B$16</f>
        <v>0.03835592038099106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717419000000</v>
      </c>
      <c r="C24" s="9">
        <f>B24*(1+B23)</f>
        <v>821590594394.2921</v>
      </c>
      <c r="D24" s="9">
        <f>C24*(1+C23)</f>
        <v>929915147770.1597</v>
      </c>
      <c r="E24" s="9">
        <f>D24*(1+D23)</f>
        <v>1040102135187.2842</v>
      </c>
      <c r="F24" s="9">
        <f>E24*(1+E23)</f>
        <v>1149453816400.9272</v>
      </c>
      <c r="G24" s="9">
        <f>F24*(1+F23)</f>
        <v>1254950230078.336</v>
      </c>
      <c r="H24" s="9">
        <f>G24*(1+G23)</f>
        <v>1353368047250.425</v>
      </c>
      <c r="I24" s="9">
        <f>H24*(1+H23)</f>
        <v>1441428676087.4475</v>
      </c>
      <c r="J24" s="9">
        <f>I24*(1+I23)</f>
        <v>1515967606255.0364</v>
      </c>
      <c r="K24" s="9">
        <f>J24*(1+J23)</f>
        <v>1574113939060.7163</v>
      </c>
    </row>
    <row r="25" spans="1:11" x14ac:dyDescent="0.25">
      <c r="A25" t="s">
        <v>33</v>
      </c>
      <c r="B25" s="9">
        <f>(B22-$B$9)*B24</f>
        <v>57018663414.193306</v>
      </c>
      <c r="C25" s="9">
        <f>(C22-$B$9)*C24</f>
        <v>65297960558.66259</v>
      </c>
      <c r="D25" s="9">
        <f>(D22-$B$9)*D24</f>
        <v>73907324470.72989</v>
      </c>
      <c r="E25" s="9">
        <f>(E22-$B$9)*E24</f>
        <v>82664709970.92012</v>
      </c>
      <c r="F25" s="9">
        <f>(F22-$B$9)*F24</f>
        <v>91355707428.32909</v>
      </c>
      <c r="G25" s="9">
        <f>(G22-$B$9)*G24</f>
        <v>99740297887.8467</v>
      </c>
      <c r="H25" s="9">
        <f>(H22-$B$9)*H24</f>
        <v>107562299244.50851</v>
      </c>
      <c r="I25" s="9">
        <f>(I22-$B$9)*I24</f>
        <v>114561137239.73918</v>
      </c>
      <c r="J25" s="9">
        <f>(J22-$B$9)*J24</f>
        <v>120485304526.19215</v>
      </c>
      <c r="K25" s="9">
        <f>(K22-$B$9)*K24</f>
        <v>125106629273.67825</v>
      </c>
    </row>
    <row r="26" spans="1:11" x14ac:dyDescent="0.25">
      <c r="A26" t="s">
        <v>34</v>
      </c>
      <c r="B26" s="14">
        <f>1/(1+$B$9)^B21</f>
        <v>0.9267138807062962</v>
      </c>
      <c r="C26" s="14">
        <f>1/(1+$B$9)^C21</f>
        <v>0.8587986166937235</v>
      </c>
      <c r="D26" s="14">
        <f>1/(1+$B$9)^D21</f>
        <v>0.7958605988214396</v>
      </c>
      <c r="E26" s="14">
        <f>1/(1+$B$9)^E21</f>
        <v>0.737535064035053</v>
      </c>
      <c r="F26" s="14">
        <f>1/(1+$B$9)^F21</f>
        <v>0.6834839813488907</v>
      </c>
      <c r="G26" s="14">
        <f>1/(1+$B$9)^G21</f>
        <v>0.6333940927564203</v>
      </c>
      <c r="H26" s="14">
        <f>1/(1+$B$9)^H21</f>
        <v>0.586975097714746</v>
      </c>
      <c r="I26" s="14">
        <f>1/(1+$B$9)^I21</f>
        <v>0.5439579706811898</v>
      </c>
      <c r="J26" s="14">
        <f>1/(1+$B$9)^J21</f>
        <v>0.5040934019510871</v>
      </c>
      <c r="K26" s="14">
        <f>1/(1+$B$9)^K21</f>
        <v>0.46715035276053074</v>
      </c>
    </row>
    <row r="27" spans="1:11" x14ac:dyDescent="0.25">
      <c r="A27" s="15" t="s">
        <v>35</v>
      </c>
      <c r="B27" s="16">
        <f>B25*B26</f>
        <v>52839986845.2532</v>
      </c>
      <c r="C27" s="16">
        <f>C25*C26</f>
        <v>56077798200.700745</v>
      </c>
      <c r="D27" s="16">
        <f>D25*D26</f>
        <v>58819927510.56552</v>
      </c>
      <c r="E27" s="16">
        <f>E25*E26</f>
        <v>60968122161.84166</v>
      </c>
      <c r="F27" s="16">
        <f>F25*F26</f>
        <v>62440162632.058784</v>
      </c>
      <c r="G27" s="16">
        <f>G25*G26</f>
        <v>63174915491.927765</v>
      </c>
      <c r="H27" s="16">
        <f>H25*H26</f>
        <v>63136391109.46814</v>
      </c>
      <c r="I27" s="16">
        <f>I25*I26</f>
        <v>62316443731.8578</v>
      </c>
      <c r="J27" s="16">
        <f>J25*J26</f>
        <v>60735847043.72091</v>
      </c>
      <c r="K27" s="16">
        <f>K25*K26</f>
        <v>58443605997.87974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717419000000</v>
      </c>
    </row>
    <row r="31" spans="1:2" x14ac:dyDescent="0.25">
      <c r="A31" t="s">
        <v>38</v>
      </c>
      <c r="B31" s="9">
        <f>SUM(B27:K27)</f>
        <v>598953200725.2742</v>
      </c>
    </row>
    <row r="32" spans="1:2" x14ac:dyDescent="0.25">
      <c r="A32" t="s">
        <v>39</v>
      </c>
      <c r="B32" s="9">
        <f>K24*(1+K23)</f>
        <v>1613466787537.2341</v>
      </c>
    </row>
    <row r="33" spans="1:2" x14ac:dyDescent="0.25">
      <c r="A33" t="s">
        <v>40</v>
      </c>
      <c r="B33" s="9">
        <f>(B18-B9)*B32</f>
        <v>128234295005.5202</v>
      </c>
    </row>
    <row r="34" spans="1:2" x14ac:dyDescent="0.25">
      <c r="A34" t="s">
        <v>41</v>
      </c>
      <c r="B34" s="9">
        <f>B33/(B9-B13)</f>
        <v>2371121265107.9067</v>
      </c>
    </row>
    <row r="35" spans="1:2" x14ac:dyDescent="0.25">
      <c r="A35" t="s">
        <v>42</v>
      </c>
      <c r="B35" s="9">
        <f>B34*K26</f>
        <v>1107670135433.1545</v>
      </c>
    </row>
    <row r="36" spans="1:2" x14ac:dyDescent="0.25">
      <c r="A36" s="15" t="s">
        <v>43</v>
      </c>
      <c r="B36" s="16">
        <f>B30+B31+B35</f>
        <v>2424042336158.4287</v>
      </c>
    </row>
    <row r="37" spans="1:2" x14ac:dyDescent="0.25">
      <c r="A37" s="15" t="s">
        <v>44</v>
      </c>
      <c r="B37" s="17">
        <f>B36/B15</f>
        <v>1123.6289729543985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556.11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1123.6289729543985</v>
      </c>
    </row>
    <row r="43" spans="1:2" x14ac:dyDescent="0.25">
      <c r="A43" s="15" t="s">
        <v>48</v>
      </c>
      <c r="B43" s="21">
        <f>B42/B40-1</f>
        <v>1.020515676672598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66968000000</v>
      </c>
      <c r="C5" s="9">
        <v>88995000000</v>
      </c>
      <c r="D5" s="9">
        <v>96223000000</v>
      </c>
      <c r="E5" s="9">
        <v>-22759000000</v>
      </c>
      <c r="F5" s="6" t="s">
        <v>57</v>
      </c>
    </row>
    <row r="6" spans="1:6" x14ac:dyDescent="0.25">
      <c r="A6" t="s">
        <v>37</v>
      </c>
      <c r="B6" s="9">
        <v>717419000000</v>
      </c>
      <c r="C6" s="9">
        <v>649368000000</v>
      </c>
      <c r="D6" s="9">
        <v>561273000000</v>
      </c>
      <c r="E6" s="9">
        <v>473424000000</v>
      </c>
      <c r="F6" s="6" t="s">
        <v>58</v>
      </c>
    </row>
    <row r="7" spans="1:6" x14ac:dyDescent="0.25">
      <c r="A7" t="s">
        <v>59</v>
      </c>
      <c r="B7" s="9"/>
      <c r="C7" s="9"/>
      <c r="D7" s="9"/>
      <c r="E7" s="9"/>
      <c r="F7" s="6" t="s">
        <v>60</v>
      </c>
    </row>
    <row r="8" spans="1:6" x14ac:dyDescent="0.25">
      <c r="A8" t="s">
        <v>14</v>
      </c>
      <c r="B8" s="10">
        <v>2157333421</v>
      </c>
      <c r="C8" s="10">
        <v>2156578922</v>
      </c>
      <c r="D8" s="10">
        <v>2173318913</v>
      </c>
      <c r="E8" s="10">
        <v>2203312898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0.10312796442079068</v>
      </c>
      <c r="C9" s="8">
        <f>IF(AND(ISNUMBER(C5),N(D6)&gt;0),C5/D6,"")</f>
        <v>0.15855920380991068</v>
      </c>
      <c r="D9" s="8">
        <f>IF(AND(ISNUMBER(D5),N(E6)&gt;0),D5/E6,"")</f>
        <v>0.20324909594781845</v>
      </c>
      <c r="E9" s="8" t="str">
        <f>""</f>
        <v/>
      </c>
    </row>
    <row r="10" spans="1:5" x14ac:dyDescent="0.25">
      <c r="A10" t="s">
        <v>63</v>
      </c>
      <c r="B10" s="8" t="str">
        <f>IF(AND(ISNUMBER(B9),N(B5)&gt;0,ISNUMBER(B7)),B7/B5,"")</f>
        <v/>
      </c>
      <c r="C10" s="8" t="str">
        <f>IF(AND(ISNUMBER(C9),N(C5)&gt;0,ISNUMBER(C7)),C7/C5,"")</f>
        <v/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5" ht="22" customHeight="1" spans="1:6" x14ac:dyDescent="0.25">
      <c r="A15" s="24" t="s">
        <v>66</v>
      </c>
      <c r="B15" s="24"/>
      <c r="C15" s="24"/>
      <c r="D15" s="24"/>
      <c r="E15" s="24"/>
      <c r="F15" s="24"/>
    </row>
    <row r="17" spans="1:1" x14ac:dyDescent="0.25">
      <c r="A17" s="25" t="s">
        <v>67</v>
      </c>
    </row>
  </sheetData>
  <mergeCells count="2">
    <mergeCell ref="A14:F14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