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<sst xmlns="http://schemas.openxmlformats.org/spreadsheetml/2006/main" count="114" uniqueCount="102">
  <si>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Berkshire Hathaway Inc. (BRK-B)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</si>
  <si>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</si>
  <si>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</si>
  <si>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</si>
  <si>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</si>
  <si>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</si>
  <si>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</si>
  <si>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</si>
  <si>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</si>
  <si>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</si>
  <si>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</si>
  <si>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</si>
  <si>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</si>
  <si>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</si>
  <si>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</si>
  <si>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</si>
  <si>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</si>
  <si>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</si>
  <si>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</si>
  <si>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</si>
  <si>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</si>
  <si>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</si>
  <si>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</si>
  <si>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</si>
  <si>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</si>
  <si>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</si>
  <si>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</si>
  <si>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</si>
  <si>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</si>
  <si>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</si>
  <si>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</si>
  <si>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</si>
  <si>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</si>
  <si>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</si>
  <si>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</si>
  <si>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</si>
  <si>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</si>
  <si>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</si>
  <si>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</si>
  <si>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</si>
  <si>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</si>
  <si>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</si>
  <si>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</si>
  <si>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</si>
  <si>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</si>
  <si>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</si>
  <si>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</si>
  <si>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</si>
  <si>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</si>
  <si>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</si>
  <si>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</si>
  <si>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</si>
  <si>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</si>
  <si>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</si>
  <si>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</si>
  <si>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</si>
  <si>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</si>
  <si>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</si>
  <si>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</si>
  <si>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</si>
  <si>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</si>
  <si>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</si>
  <si>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</si>
  <si>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</si>
  <si>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</si>
  <si>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</si>
  <si>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</si>
  <si>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</si>
  <si>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</si>
  <si>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</si>
  <si>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</si>
  <si>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</si>
  <si>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</si>
  <si>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</si>
  <si>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</si>
  <si>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</si>
  <si>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</si>
  <si>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</si>
  <si>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</si>
  <si>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</si>
  <si>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</si>
  <si>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</si>
  <si>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</si>
  <si>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</si>
  <si>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</si>
  <si>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</si>
  <si>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</si>
  <si>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</si>
  <si>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</si>
  <si>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</si>
  <si>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</si>
  <si>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</si>
  <si>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</si>
  <si>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</si>
  <si>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</si>
  <si>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</si>
  <si>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</si>
  <si>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</si>
  <si>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</si>
  <si>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Consensus rests on as few as 1 analyst estimate(s).</t>
  </si>
  <si>
    <t>Adjusted: Capital expenditure runs at 5.1% of revenue against depreciation of 3.5%.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</si>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</sst>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0.20586499585407747</v>
      </c>
    </row>
    <row r="7" spans="1:2" x14ac:dyDescent="0.25">
      <c r="A7" t="s">
        <v>5</v>
      </c>
      <c r="B7" s="6">
        <v>0.15107108511660367</v>
      </c>
    </row>
    <row r="8" spans="1:2" x14ac:dyDescent="0.25">
      <c r="A8" t="s">
        <v>6</v>
      </c>
      <c r="B8" s="6">
        <v>0.1885826628977314</v>
      </c>
    </row>
    <row r="9" spans="1:2" x14ac:dyDescent="0.25">
      <c r="A9" t="s">
        <v>7</v>
      </c>
      <c r="B9" s="6">
        <v>0.034525315613651894</v>
      </c>
    </row>
    <row r="10" spans="1:2" x14ac:dyDescent="0.25">
      <c r="A10" t="s">
        <v>8</v>
      </c>
      <c r="B10" s="6">
        <v>0.051484012646048606</v>
      </c>
    </row>
    <row r="11" spans="1:2" x14ac:dyDescent="0.25">
      <c r="A11" t="s">
        <v>9</v>
      </c>
      <c r="B11" s="6">
        <v>-0.09960724309995322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8.829306908552667</v>
      </c>
    </row>
    <row r="14" spans="1:3" x14ac:dyDescent="0.25">
      <c r="A14" t="s">
        <v>12</v>
      </c>
      <c r="B14" s="6">
        <v>0.1156924547556612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0.73401</v>
      </c>
      <c r="C19" s="8" t="s">
        <v>19</v>
      </c>
    </row>
    <row r="20" spans="1:2" x14ac:dyDescent="0.25">
      <c r="A20" t="s">
        <v>20</v>
      </c>
      <c r="B20" s="10">
        <f>B17+B19*B18</f>
        <v>0.09035055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1091269558272</v>
      </c>
    </row>
    <row r="23" spans="1:2" x14ac:dyDescent="0.25">
      <c r="A23" t="s">
        <v>24</v>
      </c>
      <c r="B23" s="11">
        <v>129081000000</v>
      </c>
    </row>
    <row r="24" spans="1:2" x14ac:dyDescent="0.25">
      <c r="A24" t="s">
        <v>25</v>
      </c>
      <c r="B24" s="10">
        <f>B22/(B22+B23)</f>
        <v>0.894226294956773</v>
      </c>
    </row>
    <row r="25" spans="1:2" x14ac:dyDescent="0.25">
      <c r="A25" t="s">
        <v>26</v>
      </c>
      <c r="B25" s="10">
        <f>1-B24</f>
        <v>0.10577370504322703</v>
      </c>
    </row>
    <row r="26" spans="1:2" x14ac:dyDescent="0.25">
      <c r="A26" t="s">
        <v>27</v>
      </c>
      <c r="B26" s="12">
        <f>B24*B20+B25*B21*(1-B8)</f>
        <v>0.08508345194552583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410522000000</v>
      </c>
      <c r="C29" s="8" t="s">
        <v>30</v>
      </c>
    </row>
    <row r="30" spans="1:2" x14ac:dyDescent="0.25">
      <c r="A30" t="s">
        <v>31</v>
      </c>
      <c r="B30" s="11">
        <v>-244230000000</v>
      </c>
    </row>
    <row r="31" spans="1:2" x14ac:dyDescent="0.25">
      <c r="A31" t="s">
        <v>32</v>
      </c>
      <c r="B31" s="13">
        <v>2157333421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0.20586499585407747</v>
      </c>
      <c r="C5" s="10">
        <f>Assumptions!B6</f>
        <v>0.20586499585407747</v>
      </c>
      <c r="D5" s="10">
        <f>Assumptions!B6</f>
        <v>0.20586499585407747</v>
      </c>
      <c r="E5" s="10">
        <f>Assumptions!B6</f>
        <v>0.20586499585407747</v>
      </c>
      <c r="F5" s="10">
        <f>Assumptions!B6</f>
        <v>0.20586499585407747</v>
      </c>
    </row>
    <row r="6" spans="1:6" x14ac:dyDescent="0.25">
      <c r="A6" t="s">
        <v>43</v>
      </c>
      <c r="B6" s="18">
        <f>Assumptions!B29*(1+B5)</f>
        <v>495034109828.00757</v>
      </c>
      <c r="C6" s="18">
        <f>B6*(1+C5)</f>
        <v>596944304795.3773</v>
      </c>
      <c r="D6" s="18">
        <f>C6*(1+D5)</f>
        <v>719834241627.1929</v>
      </c>
      <c r="E6" s="18">
        <f>D6*(1+E5)</f>
        <v>868022914795.398</v>
      </c>
      <c r="F6" s="18">
        <f>E6*(1+F5)</f>
        <v>1046718448550.9968</v>
      </c>
    </row>
    <row r="7" spans="1:6" x14ac:dyDescent="0.25">
      <c r="A7" t="s">
        <v>5</v>
      </c>
      <c r="B7" s="10">
        <f>Assumptions!B7</f>
        <v>0.15107108511660367</v>
      </c>
      <c r="C7" s="10">
        <f>Assumptions!B7</f>
        <v>0.15107108511660367</v>
      </c>
      <c r="D7" s="10">
        <f>Assumptions!B7</f>
        <v>0.15107108511660367</v>
      </c>
      <c r="E7" s="10">
        <f>Assumptions!B7</f>
        <v>0.15107108511660367</v>
      </c>
      <c r="F7" s="10">
        <f>Assumptions!B7</f>
        <v>0.15107108511660367</v>
      </c>
    </row>
    <row r="8" spans="1:6" x14ac:dyDescent="0.25">
      <c r="A8" t="s">
        <v>44</v>
      </c>
      <c r="B8" s="18">
        <f>B6*B7</f>
        <v>74785340141.44905</v>
      </c>
      <c r="C8" s="18">
        <f>C6*C7</f>
        <v>90181023879.61424</v>
      </c>
      <c r="D8" s="18">
        <f>D6*D7</f>
        <v>108746139986.7075</v>
      </c>
      <c r="E8" s="18">
        <f>E6*E7</f>
        <v>131133163644.21797</v>
      </c>
      <c r="F8" s="18">
        <f>F6*F7</f>
        <v>158128891834.16696</v>
      </c>
    </row>
    <row r="9" spans="1:6" x14ac:dyDescent="0.25">
      <c r="A9" t="s">
        <v>45</v>
      </c>
      <c r="B9" s="18">
        <f>B8*(1-Assumptions!B8)</f>
        <v>60682121551.861984</v>
      </c>
      <c r="C9" s="18">
        <f>C8*(1-Assumptions!B8)</f>
        <v>73174446253.55269</v>
      </c>
      <c r="D9" s="18">
        <f>D8*(1-Assumptions!B8)</f>
        <v>88238503328.16473</v>
      </c>
      <c r="E9" s="18">
        <f>E8*(1-Assumptions!B8)</f>
        <v>106403722449.98737</v>
      </c>
      <c r="F9" s="18">
        <f>F8*(1-Assumptions!B8)</f>
        <v>128308524331.01242</v>
      </c>
    </row>
    <row r="10" spans="1:6" x14ac:dyDescent="0.25">
      <c r="A10" t="s">
        <v>46</v>
      </c>
      <c r="B10" s="18">
        <f>B6*Assumptions!B9</f>
        <v>17091208881.335176</v>
      </c>
      <c r="C10" s="18">
        <f>C6*Assumptions!B9</f>
        <v>20609690526.832417</v>
      </c>
      <c r="D10" s="18">
        <f>D6*Assumptions!B9</f>
        <v>24852504381.692593</v>
      </c>
      <c r="E10" s="18">
        <f>E6*Assumptions!B9</f>
        <v>29968765093.19318</v>
      </c>
      <c r="F10" s="18">
        <f>F6*Assumptions!B9</f>
        <v>36138284794.85522</v>
      </c>
    </row>
    <row r="11" spans="1:6" x14ac:dyDescent="0.25">
      <c r="A11" t="s">
        <v>47</v>
      </c>
      <c r="B11" s="18">
        <f>-B6*Assumptions!B10</f>
        <v>-25486342370.610558</v>
      </c>
      <c r="C11" s="18">
        <f>-C6*Assumptions!B10</f>
        <v>-30733088137.0719</v>
      </c>
      <c r="D11" s="18">
        <f>-D6*Assumptions!B10</f>
        <v>-37059955198.9932</v>
      </c>
      <c r="E11" s="18">
        <f>-E6*Assumptions!B10</f>
        <v>-44689302722.38624</v>
      </c>
      <c r="F11" s="18">
        <f>-F6*Assumptions!B10</f>
        <v>-53889265842.051895</v>
      </c>
    </row>
    <row r="12" spans="1:6" x14ac:dyDescent="0.25">
      <c r="A12" t="s">
        <v>48</v>
      </c>
      <c r="B12" s="18">
        <f>-(B6-Assumptions!B29)*Assumptions!B11</f>
        <v>8418018268.5282955</v>
      </c>
      <c r="C12" s="18">
        <f>-(C6-B6)*Assumptions!B11</f>
        <v>10150993564.478428</v>
      </c>
      <c r="D12" s="18">
        <f>-(D6-C6)*Assumptions!B11</f>
        <v>12240727812.544548</v>
      </c>
      <c r="E12" s="18">
        <f>-(E6-D6)*Assumptions!B11</f>
        <v>14760665192.92492</v>
      </c>
      <c r="F12" s="18">
        <f>-(F6-E6)*Assumptions!B11</f>
        <v>17799369471.669834</v>
      </c>
    </row>
    <row r="13" spans="1:6" x14ac:dyDescent="0.25">
      <c r="A13" s="19" t="s">
        <v>49</v>
      </c>
      <c r="B13" s="20">
        <f>B9+B10+B11+B12</f>
        <v>60705006331.1149</v>
      </c>
      <c r="C13" s="20">
        <f>C9+C10+C11+C12</f>
        <v>73202042207.79163</v>
      </c>
      <c r="D13" s="20">
        <f>D9+D10+D11+D12</f>
        <v>88271780323.40869</v>
      </c>
      <c r="E13" s="20">
        <f>E9+E10+E11+E12</f>
        <v>106443850013.71924</v>
      </c>
      <c r="F13" s="20">
        <f>F9+F10+F11+F12</f>
        <v>128356912755.48558</v>
      </c>
    </row>
    <row r="14" spans="1:6" x14ac:dyDescent="0.25">
      <c r="A14" t="s">
        <v>50</v>
      </c>
      <c r="B14" s="21">
        <f>1/(1+Assumptions!$B$26)^(1-0.5*Assumptions!$B$32)</f>
        <v>0.9599938035897551</v>
      </c>
      <c r="C14" s="21">
        <f>1/(1+Assumptions!$B$26)^(2-0.5*Assumptions!$B$32)</f>
        <v>0.8847188682755337</v>
      </c>
      <c r="D14" s="21">
        <f>1/(1+Assumptions!$B$26)^(3-0.5*Assumptions!$B$32)</f>
        <v>0.8153463834410672</v>
      </c>
      <c r="E14" s="21">
        <f>1/(1+Assumptions!$B$26)^(4-0.5*Assumptions!$B$32)</f>
        <v>0.7514135267468809</v>
      </c>
      <c r="F14" s="21">
        <f>1/(1+Assumptions!$B$26)^(5-0.5*Assumptions!$B$32)</f>
        <v>0.6924937666311437</v>
      </c>
    </row>
    <row r="15" spans="1:6" x14ac:dyDescent="0.25">
      <c r="A15" s="19" t="s">
        <v>51</v>
      </c>
      <c r="B15" s="20">
        <f>B13*B14</f>
        <v>58276429924.747154</v>
      </c>
      <c r="C15" s="20">
        <f>C13*C14</f>
        <v>64763227937.535255</v>
      </c>
      <c r="D15" s="20">
        <f>D13*D14</f>
        <v>71972076846.59564</v>
      </c>
      <c r="E15" s="20">
        <f>E13*E14</f>
        <v>79983348739.3248</v>
      </c>
      <c r="F15" s="20">
        <f>F13*F14</f>
        <v>88886361987.1913</v>
      </c>
    </row>
    <row r="17" spans="1:2" x14ac:dyDescent="0.25">
      <c r="A17" s="22" t="s">
        <v>52</v>
      </c>
      <c r="B17" s="23">
        <f>SUM(B15:F15)</f>
        <v>363881445435.39417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128356912755.48558</v>
      </c>
    </row>
    <row r="5" spans="1:2" x14ac:dyDescent="0.25">
      <c r="A5" t="s">
        <v>56</v>
      </c>
      <c r="B5" s="18">
        <f>IF(Assumptions!$B$33=0,B4,B4-Forecast!F11-Forecast!F10-Forecast!F12)</f>
        <v>131694411738.56305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0.2160901508469088</v>
      </c>
    </row>
    <row r="7" spans="1:2" x14ac:dyDescent="0.25">
      <c r="A7" t="s">
        <v>58</v>
      </c>
      <c r="B7" s="18">
        <f>-MAX(Forecast!F9,0)*B6</f>
        <v>-28457865298.281006</v>
      </c>
    </row>
    <row r="8" spans="1:2" x14ac:dyDescent="0.25">
      <c r="A8" t="s">
        <v>59</v>
      </c>
      <c r="B8" s="18">
        <f>IF(OR(Assumptions!$B$33=0,Assumptions!B12&lt;=0),B5,MAX(B5+B7,0))</f>
        <v>103236546440.28204</v>
      </c>
    </row>
    <row r="9" spans="1:2" x14ac:dyDescent="0.25">
      <c r="A9" t="s">
        <v>60</v>
      </c>
      <c r="B9" s="18">
        <f>B8*(1+Assumptions!B12)/(Assumptions!B26-Assumptions!B12)</f>
        <v>1761174777328.5</v>
      </c>
    </row>
    <row r="10" spans="1:2" x14ac:dyDescent="0.25">
      <c r="A10" t="s">
        <v>61</v>
      </c>
      <c r="B10" s="18">
        <f>B9/(1+Assumptions!B26)^(5-0.5*Assumptions!B32)</f>
        <v>1219602555247.9788</v>
      </c>
    </row>
    <row r="11" spans="1:2" x14ac:dyDescent="0.25">
      <c r="A11" t="s">
        <v>62</v>
      </c>
      <c r="B11" s="18">
        <f>Forecast!B17+B10</f>
        <v>1583484000683.373</v>
      </c>
    </row>
    <row r="12" spans="1:2" x14ac:dyDescent="0.25">
      <c r="A12" t="s">
        <v>63</v>
      </c>
      <c r="B12" s="18">
        <f>-Assumptions!B30</f>
        <v>244230000000</v>
      </c>
    </row>
    <row r="13" spans="1:2" x14ac:dyDescent="0.25">
      <c r="A13" t="s">
        <v>64</v>
      </c>
      <c r="B13" s="18">
        <f>B11+B12</f>
        <v>1827714000683.373</v>
      </c>
    </row>
    <row r="14" spans="1:2" x14ac:dyDescent="0.25">
      <c r="A14" s="19" t="s">
        <v>65</v>
      </c>
      <c r="B14" s="24">
        <f>B13/Assumptions!B31</f>
        <v>847.2097928358999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194267176629.0222</v>
      </c>
    </row>
    <row r="18" spans="1:2" x14ac:dyDescent="0.25">
      <c r="A18" t="s">
        <v>60</v>
      </c>
      <c r="B18" s="18">
        <f>B17*Assumptions!B13</f>
        <v>1715244524715.6467</v>
      </c>
    </row>
    <row r="19" spans="1:2" x14ac:dyDescent="0.25">
      <c r="A19" t="s">
        <v>61</v>
      </c>
      <c r="B19" s="18">
        <f>B18/(1+Assumptions!B26)^(5-0.5*Assumptions!B32)</f>
        <v>1187796141613.7842</v>
      </c>
    </row>
    <row r="20" spans="1:2" x14ac:dyDescent="0.25">
      <c r="A20" t="s">
        <v>62</v>
      </c>
      <c r="B20" s="18">
        <f>Forecast!B17+B19</f>
        <v>1551677587049.1782</v>
      </c>
    </row>
    <row r="21" spans="1:2" x14ac:dyDescent="0.25">
      <c r="A21" t="s">
        <v>63</v>
      </c>
      <c r="B21" s="18">
        <f>-Assumptions!B30</f>
        <v>244230000000</v>
      </c>
    </row>
    <row r="22" spans="1:2" x14ac:dyDescent="0.25">
      <c r="A22" t="s">
        <v>64</v>
      </c>
      <c r="B22" s="18">
        <f>B20+B21</f>
        <v>1795907587049.1782</v>
      </c>
    </row>
    <row r="23" spans="1:2" x14ac:dyDescent="0.25">
      <c r="A23" s="19" t="s">
        <v>65</v>
      </c>
      <c r="B23" s="25">
        <f>B22/Assumptions!B31</f>
        <v>832.4664002176871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509.77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847.2097928358999</v>
      </c>
    </row>
    <row r="29" spans="1:2" x14ac:dyDescent="0.25">
      <c r="A29" s="19" t="s">
        <v>73</v>
      </c>
      <c r="B29" s="12">
        <f>B28/B26-1</f>
        <v>0.661945176914883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0.065083</v>
      </c>
      <c r="B5" s="31">
        <v>1101.4233854328645</v>
      </c>
      <c r="C5" s="31">
        <v>1150.8342491318786</v>
      </c>
      <c r="D5" s="31">
        <v>1212.0766522408721</v>
      </c>
      <c r="E5" s="31">
        <v>1290.2092582478515</v>
      </c>
      <c r="F5" s="31">
        <v>1393.6538682853427</v>
      </c>
    </row>
    <row r="6" spans="1:6" x14ac:dyDescent="0.25">
      <c r="A6" s="30">
        <v>0.075083</v>
      </c>
      <c r="B6" s="31">
        <v>934.1703237140817</v>
      </c>
      <c r="C6" s="31">
        <v>961.201175995561</v>
      </c>
      <c r="D6" s="31">
        <v>993.2489311251901</v>
      </c>
      <c r="E6" s="31">
        <v>1031.9828112648097</v>
      </c>
      <c r="F6" s="31">
        <v>1079.9049214252684</v>
      </c>
    </row>
    <row r="7" spans="1:6" x14ac:dyDescent="0.25">
      <c r="A7" s="30">
        <v>0.085083</v>
      </c>
      <c r="B7" s="31">
        <v>814.7398923393489</v>
      </c>
      <c r="C7" s="31">
        <v>829.8704897712706</v>
      </c>
      <c r="D7" s="32">
        <v>847.2152952367263</v>
      </c>
      <c r="E7" s="31">
        <v>867.3772737249691</v>
      </c>
      <c r="F7" s="31">
        <v>891.2001765157105</v>
      </c>
    </row>
    <row r="8" spans="1:6" x14ac:dyDescent="0.25">
      <c r="A8" s="30">
        <v>0.095083</v>
      </c>
      <c r="B8" s="31">
        <v>725.2150525133479</v>
      </c>
      <c r="C8" s="31">
        <v>733.5482765853588</v>
      </c>
      <c r="D8" s="31">
        <v>742.8204070177411</v>
      </c>
      <c r="E8" s="31">
        <v>753.2478381900654</v>
      </c>
      <c r="F8" s="31">
        <v>765.1189962977465</v>
      </c>
    </row>
    <row r="9" spans="1:6" x14ac:dyDescent="0.25">
      <c r="A9" s="30">
        <v>0.105083</v>
      </c>
      <c r="B9" s="31">
        <v>655.6345813277001</v>
      </c>
      <c r="C9" s="31">
        <v>659.89159104239</v>
      </c>
      <c r="D9" s="31">
        <v>664.4700408138576</v>
      </c>
      <c r="E9" s="31">
        <v>669.4341475867063</v>
      </c>
      <c r="F9" s="31">
        <v>674.8664542746345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410522000000</v>
      </c>
      <c r="C5" s="18">
        <v>424232000000</v>
      </c>
      <c r="D5" s="18">
        <v>439337000000</v>
      </c>
      <c r="E5" s="18">
        <v>234121000000</v>
      </c>
      <c r="F5" s="8" t="s">
        <v>84</v>
      </c>
    </row>
    <row r="6" spans="1:6" x14ac:dyDescent="0.25">
      <c r="A6" t="s">
        <v>44</v>
      </c>
      <c r="B6" s="18">
        <v>82459000000</v>
      </c>
      <c r="C6" s="18">
        <v>110376000000</v>
      </c>
      <c r="D6" s="18">
        <v>120166000000</v>
      </c>
      <c r="E6" s="18">
        <v>-30500000000</v>
      </c>
      <c r="F6" s="8" t="s">
        <v>85</v>
      </c>
    </row>
    <row r="7" spans="1:6" x14ac:dyDescent="0.25">
      <c r="A7" t="s">
        <v>86</v>
      </c>
      <c r="B7" s="18">
        <v>13476000000</v>
      </c>
      <c r="C7" s="18">
        <v>12855000000</v>
      </c>
      <c r="D7" s="18">
        <v>12486000000</v>
      </c>
      <c r="E7" s="18">
        <v>10899000000</v>
      </c>
      <c r="F7" s="8" t="s">
        <v>87</v>
      </c>
    </row>
    <row r="8" spans="1:6" x14ac:dyDescent="0.25">
      <c r="A8" t="s">
        <v>88</v>
      </c>
      <c r="B8" s="18">
        <v>20927000000</v>
      </c>
      <c r="C8" s="18">
        <v>18976000000</v>
      </c>
      <c r="D8" s="18">
        <v>19409000000</v>
      </c>
      <c r="E8" s="18">
        <v>15464000000</v>
      </c>
      <c r="F8" s="8" t="s">
        <v>89</v>
      </c>
    </row>
    <row r="9" spans="1:6" x14ac:dyDescent="0.25">
      <c r="A9" t="s">
        <v>90</v>
      </c>
      <c r="B9" s="18">
        <v>-2355000000</v>
      </c>
      <c r="C9" s="18">
        <v>6784000000</v>
      </c>
      <c r="D9" s="18">
        <v>-20441000000</v>
      </c>
      <c r="E9" s="18">
        <v>15244000000</v>
      </c>
      <c r="F9" s="8" t="s">
        <v>91</v>
      </c>
    </row>
    <row r="10" spans="1:6" x14ac:dyDescent="0.25">
      <c r="A10" t="s">
        <v>92</v>
      </c>
      <c r="B10" s="18">
        <v>129081000000</v>
      </c>
      <c r="C10" s="18">
        <v>124762000000</v>
      </c>
      <c r="D10" s="18">
        <v>128271000000</v>
      </c>
      <c r="E10" s="18">
        <v>122744000000</v>
      </c>
      <c r="F10" s="8" t="s">
        <v>93</v>
      </c>
    </row>
    <row r="11" spans="1:6" x14ac:dyDescent="0.25">
      <c r="A11" t="s">
        <v>94</v>
      </c>
      <c r="B11" s="18">
        <v>373311000000</v>
      </c>
      <c r="C11" s="18">
        <v>334201000000</v>
      </c>
      <c r="D11" s="18">
        <v>167641000000</v>
      </c>
      <c r="E11" s="18">
        <v>128585000000</v>
      </c>
      <c r="F11" s="8" t="s">
        <v>95</v>
      </c>
    </row>
    <row r="12" spans="1:6" x14ac:dyDescent="0.25">
      <c r="A12" t="s">
        <v>32</v>
      </c>
      <c r="B12" s="34">
        <v>2157333421</v>
      </c>
      <c r="C12" s="34">
        <v>2156578922</v>
      </c>
      <c r="D12" s="34">
        <v>2173318913</v>
      </c>
      <c r="E12" s="34">
        <v>2203312898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2026-09-19T00:09:36Z</dcterms:modified>
</cp:coreProperties>
</file>