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<sst xmlns="http://schemas.openxmlformats.org/spreadsheetml/2006/main" count="112" uniqueCount="100">
  <si>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Brown &amp; Brown, Inc. (BRO)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</si>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</sst>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0.17384548109418518</v>
      </c>
    </row>
    <row r="7" spans="1:2" x14ac:dyDescent="0.25">
      <c r="A7" t="s">
        <v>5</v>
      </c>
      <c r="B7" s="6">
        <v>0.2741879052870483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0.05303211409192186</v>
      </c>
    </row>
    <row r="10" spans="1:2" x14ac:dyDescent="0.25">
      <c r="A10" t="s">
        <v>8</v>
      </c>
      <c r="B10" s="6">
        <v>0.015063651159916036</v>
      </c>
    </row>
    <row r="11" spans="1:2" x14ac:dyDescent="0.25">
      <c r="A11" t="s">
        <v>9</v>
      </c>
      <c r="B11" s="6">
        <v>0.0444234404536862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15.299820652755484</v>
      </c>
    </row>
    <row r="14" spans="1:3" x14ac:dyDescent="0.25">
      <c r="A14" t="s">
        <v>12</v>
      </c>
      <c r="B14" s="6">
        <v>0.09320237252759678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0.71994</v>
      </c>
      <c r="C19" s="8" t="s">
        <v>19</v>
      </c>
    </row>
    <row r="20" spans="1:2" x14ac:dyDescent="0.25">
      <c r="A20" t="s">
        <v>20</v>
      </c>
      <c r="B20" s="10">
        <f>B17+B19*B18</f>
        <v>0.08957670000000001</v>
      </c>
    </row>
    <row r="21" spans="1:3" x14ac:dyDescent="0.25">
      <c r="A21" t="s">
        <v>21</v>
      </c>
      <c r="B21" s="6">
        <v>0.051093671731507764</v>
      </c>
      <c r="C21" s="8" t="s">
        <v>22</v>
      </c>
    </row>
    <row r="22" spans="1:2" x14ac:dyDescent="0.25">
      <c r="A22" t="s">
        <v>23</v>
      </c>
      <c r="B22" s="11">
        <v>21756364800</v>
      </c>
    </row>
    <row r="23" spans="1:2" x14ac:dyDescent="0.25">
      <c r="A23" t="s">
        <v>24</v>
      </c>
      <c r="B23" s="11">
        <v>7918000000</v>
      </c>
    </row>
    <row r="24" spans="1:2" x14ac:dyDescent="0.25">
      <c r="A24" t="s">
        <v>25</v>
      </c>
      <c r="B24" s="10">
        <f>B22/(B22+B23)</f>
        <v>0.7331703625885195</v>
      </c>
    </row>
    <row r="25" spans="1:2" x14ac:dyDescent="0.25">
      <c r="A25" t="s">
        <v>26</v>
      </c>
      <c r="B25" s="10">
        <f>1-B24</f>
        <v>0.26682963741148047</v>
      </c>
    </row>
    <row r="26" spans="1:2" x14ac:dyDescent="0.25">
      <c r="A26" t="s">
        <v>27</v>
      </c>
      <c r="B26" s="12">
        <f>B24*B20+B25*B21*(1-B8)</f>
        <v>0.0764452932811732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5763000000</v>
      </c>
      <c r="C29" s="8" t="s">
        <v>30</v>
      </c>
    </row>
    <row r="30" spans="1:2" x14ac:dyDescent="0.25">
      <c r="A30" t="s">
        <v>31</v>
      </c>
      <c r="B30" s="11">
        <v>6839000000</v>
      </c>
    </row>
    <row r="31" spans="1:2" x14ac:dyDescent="0.25">
      <c r="A31" t="s">
        <v>32</v>
      </c>
      <c r="B31" s="13">
        <v>313000000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0.17384548109418518</v>
      </c>
      <c r="C5" s="10">
        <f>Assumptions!B6</f>
        <v>0.17384548109418518</v>
      </c>
      <c r="D5" s="10">
        <f>Assumptions!B6</f>
        <v>0.17384548109418518</v>
      </c>
      <c r="E5" s="10">
        <f>Assumptions!B6</f>
        <v>0.17384548109418518</v>
      </c>
      <c r="F5" s="10">
        <f>Assumptions!B6</f>
        <v>0.17384548109418518</v>
      </c>
    </row>
    <row r="6" spans="1:6" x14ac:dyDescent="0.25">
      <c r="A6" t="s">
        <v>43</v>
      </c>
      <c r="B6" s="18">
        <f>Assumptions!B29*(1+B5)</f>
        <v>6764871507.545789</v>
      </c>
      <c r="C6" s="18">
        <f>B6*(1+C5)</f>
        <v>7940913849.315433</v>
      </c>
      <c r="D6" s="18">
        <f>C6*(1+D5)</f>
        <v>9321405837.777151</v>
      </c>
      <c r="E6" s="18">
        <f>D6*(1+E5)</f>
        <v>10941890120.119667</v>
      </c>
      <c r="F6" s="18">
        <f>E6*(1+F5)</f>
        <v>12844088272.131582</v>
      </c>
    </row>
    <row r="7" spans="1:6" x14ac:dyDescent="0.25">
      <c r="A7" t="s">
        <v>5</v>
      </c>
      <c r="B7" s="10">
        <f>Assumptions!B7</f>
        <v>0.2741879052870483</v>
      </c>
      <c r="C7" s="10">
        <f>Assumptions!B7</f>
        <v>0.2741879052870483</v>
      </c>
      <c r="D7" s="10">
        <f>Assumptions!B7</f>
        <v>0.2741879052870483</v>
      </c>
      <c r="E7" s="10">
        <f>Assumptions!B7</f>
        <v>0.2741879052870483</v>
      </c>
      <c r="F7" s="10">
        <f>Assumptions!B7</f>
        <v>0.2741879052870483</v>
      </c>
    </row>
    <row r="8" spans="1:6" x14ac:dyDescent="0.25">
      <c r="A8" t="s">
        <v>44</v>
      </c>
      <c r="B8" s="18">
        <f>B6*B7</f>
        <v>1854845948.1900163</v>
      </c>
      <c r="C8" s="18">
        <f>C6*C7</f>
        <v>2177302534.40871</v>
      </c>
      <c r="D8" s="18">
        <f>D6*D7</f>
        <v>2555816740.9905806</v>
      </c>
      <c r="E8" s="18">
        <f>E6*E7</f>
        <v>3000133931.916661</v>
      </c>
      <c r="F8" s="18">
        <f>F6*F7</f>
        <v>3521693658.657702</v>
      </c>
    </row>
    <row r="9" spans="1:6" x14ac:dyDescent="0.25">
      <c r="A9" t="s">
        <v>45</v>
      </c>
      <c r="B9" s="18">
        <f>B8*(1-Assumptions!B8)</f>
        <v>1465328299.070113</v>
      </c>
      <c r="C9" s="18">
        <f>C8*(1-Assumptions!B8)</f>
        <v>1720069002.1828809</v>
      </c>
      <c r="D9" s="18">
        <f>D8*(1-Assumptions!B8)</f>
        <v>2019095225.3825588</v>
      </c>
      <c r="E9" s="18">
        <f>E8*(1-Assumptions!B8)</f>
        <v>2370105806.2141623</v>
      </c>
      <c r="F9" s="18">
        <f>F8*(1-Assumptions!B8)</f>
        <v>2782137990.339585</v>
      </c>
    </row>
    <row r="10" spans="1:6" x14ac:dyDescent="0.25">
      <c r="A10" t="s">
        <v>46</v>
      </c>
      <c r="B10" s="18">
        <f>B6*Assumptions!B9</f>
        <v>358755437.6053597</v>
      </c>
      <c r="C10" s="18">
        <f>C6*Assumptions!B9</f>
        <v>421123449.2510184</v>
      </c>
      <c r="D10" s="18">
        <f>D6*Assumptions!B9</f>
        <v>494333857.88610435</v>
      </c>
      <c r="E10" s="18">
        <f>E6*Assumptions!B9</f>
        <v>580271565.2314588</v>
      </c>
      <c r="F10" s="18">
        <f>F6*Assumptions!B9</f>
        <v>681149154.6543975</v>
      </c>
    </row>
    <row r="11" spans="1:6" x14ac:dyDescent="0.25">
      <c r="A11" t="s">
        <v>47</v>
      </c>
      <c r="B11" s="18">
        <f>-B6*Assumptions!B10</f>
        <v>-101903664.53132507</v>
      </c>
      <c r="C11" s="18">
        <f>-C6*Assumptions!B10</f>
        <v>-119619156.11703373</v>
      </c>
      <c r="D11" s="18">
        <f>-D6*Assumptions!B10</f>
        <v>-140414405.8602799</v>
      </c>
      <c r="E11" s="18">
        <f>-E6*Assumptions!B10</f>
        <v>-164824815.79961443</v>
      </c>
      <c r="F11" s="18">
        <f>-F6*Assumptions!B10</f>
        <v>-193478865.19855887</v>
      </c>
    </row>
    <row r="12" spans="1:6" x14ac:dyDescent="0.25">
      <c r="A12" t="s">
        <v>48</v>
      </c>
      <c r="B12" s="18">
        <f>-(B6-Assumptions!B29)*Assumptions!B11</f>
        <v>-44506579.257705174</v>
      </c>
      <c r="C12" s="18">
        <f>-(C6-B6)*Assumptions!B11</f>
        <v>-52243846.94061745</v>
      </c>
      <c r="D12" s="18">
        <f>-(D6-C6)*Assumptions!B11</f>
        <v>-61326203.64622001</v>
      </c>
      <c r="E12" s="18">
        <f>-(E6-D6)*Assumptions!B11</f>
        <v>-71987487.02277717</v>
      </c>
      <c r="F12" s="18">
        <f>-(F6-E6)*Assumptions!B11</f>
        <v>-84502186.33701324</v>
      </c>
    </row>
    <row r="13" spans="1:6" x14ac:dyDescent="0.25">
      <c r="A13" s="19" t="s">
        <v>49</v>
      </c>
      <c r="B13" s="20">
        <f>B9+B10+B11+B12</f>
        <v>1677673492.8864424</v>
      </c>
      <c r="C13" s="20">
        <f>C9+C10+C11+C12</f>
        <v>1969329448.3762481</v>
      </c>
      <c r="D13" s="20">
        <f>D9+D10+D11+D12</f>
        <v>2311688473.762163</v>
      </c>
      <c r="E13" s="20">
        <f>E9+E10+E11+E12</f>
        <v>2713565068.6232295</v>
      </c>
      <c r="F13" s="20">
        <f>F9+F10+F11+F12</f>
        <v>3185306093.4584103</v>
      </c>
    </row>
    <row r="14" spans="1:6" x14ac:dyDescent="0.25">
      <c r="A14" t="s">
        <v>50</v>
      </c>
      <c r="B14" s="21">
        <f>1/(1+Assumptions!$B$26)^(1-0.5*Assumptions!$B$32)</f>
        <v>0.9638379417368999</v>
      </c>
      <c r="C14" s="21">
        <f>1/(1+Assumptions!$B$26)^(2-0.5*Assumptions!$B$32)</f>
        <v>0.8953896196609968</v>
      </c>
      <c r="D14" s="21">
        <f>1/(1+Assumptions!$B$26)^(3-0.5*Assumptions!$B$32)</f>
        <v>0.8318022525155082</v>
      </c>
      <c r="E14" s="21">
        <f>1/(1+Assumptions!$B$26)^(4-0.5*Assumptions!$B$32)</f>
        <v>0.7727306326734406</v>
      </c>
      <c r="F14" s="21">
        <f>1/(1+Assumptions!$B$26)^(5-0.5*Assumptions!$B$32)</f>
        <v>0.7178540679183398</v>
      </c>
    </row>
    <row r="15" spans="1:6" x14ac:dyDescent="0.25">
      <c r="A15" s="19" t="s">
        <v>51</v>
      </c>
      <c r="B15" s="20">
        <f>B13*B14</f>
        <v>1617005366.290224</v>
      </c>
      <c r="C15" s="20">
        <f>C13*C14</f>
        <v>1763317145.7688096</v>
      </c>
      <c r="D15" s="20">
        <f>D13*D14</f>
        <v>1922867679.5895047</v>
      </c>
      <c r="E15" s="20">
        <f>E13*E14</f>
        <v>2096854852.2777762</v>
      </c>
      <c r="F15" s="20">
        <f>F13*F14</f>
        <v>2286584936.754195</v>
      </c>
    </row>
    <row r="17" spans="1:2" x14ac:dyDescent="0.25">
      <c r="A17" s="22" t="s">
        <v>52</v>
      </c>
      <c r="B17" s="23">
        <f>SUM(B15:F15)</f>
        <v>9686629980.680511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3185306093.4584103</v>
      </c>
    </row>
    <row r="5" spans="1:2" x14ac:dyDescent="0.25">
      <c r="A5" t="s">
        <v>56</v>
      </c>
      <c r="B5" s="18">
        <f>IF(Assumptions!$B$33=0,B4,B4-Forecast!F11-Forecast!F10-Forecast!F12)</f>
        <v>3220382490.52287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0.26823351511355165</v>
      </c>
    </row>
    <row r="7" spans="1:2" x14ac:dyDescent="0.25">
      <c r="A7" t="s">
        <v>58</v>
      </c>
      <c r="B7" s="18">
        <f>-MAX(Forecast!F9,0)*B6</f>
        <v>-863814515.4430834</v>
      </c>
    </row>
    <row r="8" spans="1:2" x14ac:dyDescent="0.25">
      <c r="A8" t="s">
        <v>59</v>
      </c>
      <c r="B8" s="18">
        <f>IF(OR(Assumptions!$B$33=0,Assumptions!B12&lt;=0),B5,MAX(B5+B7,0))</f>
        <v>2356567975.079787</v>
      </c>
    </row>
    <row r="9" spans="1:2" x14ac:dyDescent="0.25">
      <c r="A9" t="s">
        <v>60</v>
      </c>
      <c r="B9" s="18">
        <f>B8*(1+Assumptions!B12)/(Assumptions!B26-Assumptions!B12)</f>
        <v>46952442495.66259</v>
      </c>
    </row>
    <row r="10" spans="1:2" x14ac:dyDescent="0.25">
      <c r="A10" t="s">
        <v>61</v>
      </c>
      <c r="B10" s="18">
        <f>B9/(1+Assumptions!B26)^(5-0.5*Assumptions!B32)</f>
        <v>33705001844.213318</v>
      </c>
    </row>
    <row r="11" spans="1:2" x14ac:dyDescent="0.25">
      <c r="A11" t="s">
        <v>62</v>
      </c>
      <c r="B11" s="18">
        <f>Forecast!B17+B10</f>
        <v>43391631824.89383</v>
      </c>
    </row>
    <row r="12" spans="1:2" x14ac:dyDescent="0.25">
      <c r="A12" t="s">
        <v>63</v>
      </c>
      <c r="B12" s="18">
        <f>-Assumptions!B30</f>
        <v>-6839000000</v>
      </c>
    </row>
    <row r="13" spans="1:2" x14ac:dyDescent="0.25">
      <c r="A13" t="s">
        <v>64</v>
      </c>
      <c r="B13" s="18">
        <f>B11+B12</f>
        <v>36552631824.89383</v>
      </c>
    </row>
    <row r="14" spans="1:2" x14ac:dyDescent="0.25">
      <c r="A14" s="19" t="s">
        <v>65</v>
      </c>
      <c r="B14" s="24">
        <f>B13/Assumptions!B31</f>
        <v>116.78157132553939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4202842813.3120995</v>
      </c>
    </row>
    <row r="18" spans="1:2" x14ac:dyDescent="0.25">
      <c r="A18" t="s">
        <v>60</v>
      </c>
      <c r="B18" s="18">
        <f>B17*Assumptions!B13</f>
        <v>64302741275.39742</v>
      </c>
    </row>
    <row r="19" spans="1:2" x14ac:dyDescent="0.25">
      <c r="A19" t="s">
        <v>61</v>
      </c>
      <c r="B19" s="18">
        <f>B18/(1+Assumptions!B26)^(5-0.5*Assumptions!B32)</f>
        <v>46159984402.844574</v>
      </c>
    </row>
    <row r="20" spans="1:2" x14ac:dyDescent="0.25">
      <c r="A20" t="s">
        <v>62</v>
      </c>
      <c r="B20" s="18">
        <f>Forecast!B17+B19</f>
        <v>55846614383.525085</v>
      </c>
    </row>
    <row r="21" spans="1:2" x14ac:dyDescent="0.25">
      <c r="A21" t="s">
        <v>63</v>
      </c>
      <c r="B21" s="18">
        <f>-Assumptions!B30</f>
        <v>-6839000000</v>
      </c>
    </row>
    <row r="22" spans="1:2" x14ac:dyDescent="0.25">
      <c r="A22" t="s">
        <v>64</v>
      </c>
      <c r="B22" s="18">
        <f>B20+B21</f>
        <v>49007614383.525085</v>
      </c>
    </row>
    <row r="23" spans="1:2" x14ac:dyDescent="0.25">
      <c r="A23" s="19" t="s">
        <v>65</v>
      </c>
      <c r="B23" s="25">
        <f>B22/Assumptions!B31</f>
        <v>156.57384787068716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65.02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116.78157132553939</v>
      </c>
    </row>
    <row r="29" spans="1:2" x14ac:dyDescent="0.25">
      <c r="A29" s="19" t="s">
        <v>73</v>
      </c>
      <c r="B29" s="12">
        <f>B28/B26-1</f>
        <v>0.7960869167262288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0.056445</v>
      </c>
      <c r="B5" s="31">
        <v>175.83491771566568</v>
      </c>
      <c r="C5" s="31">
        <v>187.3495211669832</v>
      </c>
      <c r="D5" s="31">
        <v>202.38884602330353</v>
      </c>
      <c r="E5" s="31">
        <v>222.95216704639785</v>
      </c>
      <c r="F5" s="31">
        <v>252.9033192794748</v>
      </c>
    </row>
    <row r="6" spans="1:6" x14ac:dyDescent="0.25">
      <c r="A6" s="30">
        <v>0.066445</v>
      </c>
      <c r="B6" s="31">
        <v>137.39572492023422</v>
      </c>
      <c r="C6" s="31">
        <v>142.74389779132144</v>
      </c>
      <c r="D6" s="31">
        <v>149.2827935998034</v>
      </c>
      <c r="E6" s="31">
        <v>157.5024890108175</v>
      </c>
      <c r="F6" s="31">
        <v>168.20476472202566</v>
      </c>
    </row>
    <row r="7" spans="1:6" x14ac:dyDescent="0.25">
      <c r="A7" s="30">
        <v>0.076445</v>
      </c>
      <c r="B7" s="31">
        <v>111.4677803169113</v>
      </c>
      <c r="C7" s="31">
        <v>113.92477181635974</v>
      </c>
      <c r="D7" s="32">
        <v>116.7823397771662</v>
      </c>
      <c r="E7" s="31">
        <v>120.16985543241015</v>
      </c>
      <c r="F7" s="31">
        <v>124.27912033635772</v>
      </c>
    </row>
    <row r="8" spans="1:6" x14ac:dyDescent="0.25">
      <c r="A8" s="30">
        <v>0.086445</v>
      </c>
      <c r="B8" s="31">
        <v>92.79803445890104</v>
      </c>
      <c r="C8" s="31">
        <v>93.76590197565592</v>
      </c>
      <c r="D8" s="31">
        <v>94.82943077803188</v>
      </c>
      <c r="E8" s="31">
        <v>96.01404241416117</v>
      </c>
      <c r="F8" s="31">
        <v>97.35504143271318</v>
      </c>
    </row>
    <row r="9" spans="1:6" x14ac:dyDescent="0.25">
      <c r="A9" s="30">
        <v>0.096445</v>
      </c>
      <c r="B9" s="31">
        <v>79.1717818191172</v>
      </c>
      <c r="C9" s="31">
        <v>79.52424404097515</v>
      </c>
      <c r="D9" s="31">
        <v>79.87670626283307</v>
      </c>
      <c r="E9" s="31">
        <v>80.22916848469106</v>
      </c>
      <c r="F9" s="31">
        <v>80.58163070654899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5763000000</v>
      </c>
      <c r="C5" s="18">
        <v>4705000000</v>
      </c>
      <c r="D5" s="18">
        <v>4199000000</v>
      </c>
      <c r="E5" s="18">
        <v>3563000000</v>
      </c>
      <c r="F5" s="8" t="s">
        <v>84</v>
      </c>
    </row>
    <row r="6" spans="1:6" x14ac:dyDescent="0.25">
      <c r="A6" t="s">
        <v>44</v>
      </c>
      <c r="B6" s="18">
        <v>1502000000</v>
      </c>
      <c r="C6" s="18">
        <v>1367000000</v>
      </c>
      <c r="D6" s="18">
        <v>1156000000</v>
      </c>
      <c r="E6" s="18">
        <v>963000000</v>
      </c>
      <c r="F6" s="8" t="s">
        <v>85</v>
      </c>
    </row>
    <row r="7" spans="1:6" x14ac:dyDescent="0.25">
      <c r="A7" t="s">
        <v>86</v>
      </c>
      <c r="B7" s="18">
        <v>367000000</v>
      </c>
      <c r="C7" s="18">
        <v>222000000</v>
      </c>
      <c r="D7" s="18">
        <v>206000000</v>
      </c>
      <c r="E7" s="18">
        <v>186000000</v>
      </c>
      <c r="F7" s="8" t="s">
        <v>87</v>
      </c>
    </row>
    <row r="8" spans="1:6" x14ac:dyDescent="0.25">
      <c r="A8" t="s">
        <v>88</v>
      </c>
      <c r="B8" s="18">
        <v>68000000</v>
      </c>
      <c r="C8" s="18">
        <v>82000000</v>
      </c>
      <c r="D8" s="18">
        <v>69000000</v>
      </c>
      <c r="E8" s="18">
        <v>52000000</v>
      </c>
      <c r="F8" s="8" t="s">
        <v>89</v>
      </c>
    </row>
    <row r="9" spans="1:6" x14ac:dyDescent="0.25">
      <c r="A9" t="s">
        <v>90</v>
      </c>
      <c r="B9" s="18">
        <v>47000000</v>
      </c>
      <c r="C9" s="18">
        <v>105000000</v>
      </c>
      <c r="D9" s="18">
        <v>25000000</v>
      </c>
      <c r="E9" s="18">
        <v>16000000</v>
      </c>
      <c r="F9" s="8" t="s">
        <v>91</v>
      </c>
    </row>
    <row r="10" spans="1:6" x14ac:dyDescent="0.25">
      <c r="A10" t="s">
        <v>92</v>
      </c>
      <c r="B10" s="18">
        <v>7918000000</v>
      </c>
      <c r="C10" s="18">
        <v>4060000000</v>
      </c>
      <c r="D10" s="18">
        <v>4020000000</v>
      </c>
      <c r="E10" s="18">
        <v>4183000000</v>
      </c>
      <c r="F10" s="8" t="s">
        <v>93</v>
      </c>
    </row>
    <row r="11" spans="1:6" x14ac:dyDescent="0.25">
      <c r="A11" t="s">
        <v>94</v>
      </c>
      <c r="B11" s="18">
        <v>1079000000</v>
      </c>
      <c r="C11" s="18">
        <v>675000000</v>
      </c>
      <c r="D11" s="18">
        <v>711000000</v>
      </c>
      <c r="E11" s="18">
        <v>662000000</v>
      </c>
      <c r="F11" s="8" t="s">
        <v>95</v>
      </c>
    </row>
    <row r="12" spans="1:6" x14ac:dyDescent="0.25">
      <c r="A12" t="s">
        <v>32</v>
      </c>
      <c r="B12" s="34">
        <v>313000000</v>
      </c>
      <c r="C12" s="34">
        <v>284000000</v>
      </c>
      <c r="D12" s="34">
        <v>280800000</v>
      </c>
      <c r="E12" s="34">
        <v>278658000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2026-09-19T01:06:40Z</dcterms:modified>
</cp:coreProperties>
</file>