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<sst xmlns="http://schemas.openxmlformats.org/spreadsheetml/2006/main" count="70" uniqueCount="67">
  <si>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Brown &amp; Brown, Inc. (BRO)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</si>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</sst>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0.6790700000000001</v>
      </c>
    </row>
    <row r="9" spans="1:2" x14ac:dyDescent="0.25">
      <c r="A9" t="s">
        <v>8</v>
      </c>
      <c r="B9" s="8">
        <f>B6+B8*B7</f>
        <v>0.07766466100000001</v>
      </c>
    </row>
    <row r="10" spans="1:2" x14ac:dyDescent="0.25">
      <c r="A10" t="s">
        <v>9</v>
      </c>
      <c r="B10" s="8">
        <f>MEDIAN('Source data'!B9:E9)</f>
        <v>0.1758379637927944</v>
      </c>
    </row>
    <row r="11" spans="1:2" x14ac:dyDescent="0.25">
      <c r="A11" t="s">
        <v>10</v>
      </c>
      <c r="B11" s="8">
        <f>IFERROR(MIN(MAX(MEDIAN('Source data'!B10:E10),0),1),0)</f>
        <v>0.15734265734265734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12547000000</v>
      </c>
    </row>
    <row r="15" spans="1:2" x14ac:dyDescent="0.25">
      <c r="A15" t="s">
        <v>14</v>
      </c>
      <c r="B15" s="10">
        <f>'Source data'!B8</f>
        <v>313000000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0.14817115130791417</v>
      </c>
    </row>
    <row r="18" spans="1:2" x14ac:dyDescent="0.25">
      <c r="A18" t="s">
        <v>17</v>
      </c>
      <c r="B18" s="8">
        <f>MIN(B10,B12)</f>
        <v>0.1758379637927944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0.1758379637927944</v>
      </c>
      <c r="C22" s="8">
        <f>$B$10+($B$18-$B$10)*C21/$B$16</f>
        <v>0.1758379637927944</v>
      </c>
      <c r="D22" s="8">
        <f>$B$10+($B$18-$B$10)*D21/$B$16</f>
        <v>0.1758379637927944</v>
      </c>
      <c r="E22" s="8">
        <f>$B$10+($B$18-$B$10)*E21/$B$16</f>
        <v>0.1758379637927944</v>
      </c>
      <c r="F22" s="8">
        <f>$B$10+($B$18-$B$10)*F21/$B$16</f>
        <v>0.1758379637927944</v>
      </c>
      <c r="G22" s="8">
        <f>$B$10+($B$18-$B$10)*G21/$B$16</f>
        <v>0.1758379637927944</v>
      </c>
      <c r="H22" s="8">
        <f>$B$10+($B$18-$B$10)*H21/$B$16</f>
        <v>0.1758379637927944</v>
      </c>
      <c r="I22" s="8">
        <f>$B$10+($B$18-$B$10)*I21/$B$16</f>
        <v>0.1758379637927944</v>
      </c>
      <c r="J22" s="8">
        <f>$B$10+($B$18-$B$10)*J21/$B$16</f>
        <v>0.1758379637927944</v>
      </c>
      <c r="K22" s="8">
        <f>$B$10+($B$18-$B$10)*K21/$B$16</f>
        <v>0.1758379637927944</v>
      </c>
    </row>
    <row r="23" spans="1:11" x14ac:dyDescent="0.25">
      <c r="A23" t="s">
        <v>31</v>
      </c>
      <c r="B23" s="8">
        <f>$B$17+($B$13-$B$17)*B21/$B$16</f>
        <v>0.13585403617712274</v>
      </c>
      <c r="C23" s="8">
        <f>$B$17+($B$13-$B$17)*C21/$B$16</f>
        <v>0.12353692104633134</v>
      </c>
      <c r="D23" s="8">
        <f>$B$17+($B$13-$B$17)*D21/$B$16</f>
        <v>0.11121980591553993</v>
      </c>
      <c r="E23" s="8">
        <f>$B$17+($B$13-$B$17)*E21/$B$16</f>
        <v>0.0989026907847485</v>
      </c>
      <c r="F23" s="8">
        <f>$B$17+($B$13-$B$17)*F21/$B$16</f>
        <v>0.08658557565395708</v>
      </c>
      <c r="G23" s="8">
        <f>$B$17+($B$13-$B$17)*G21/$B$16</f>
        <v>0.07426846052316567</v>
      </c>
      <c r="H23" s="8">
        <f>$B$17+($B$13-$B$17)*H21/$B$16</f>
        <v>0.06195134539237425</v>
      </c>
      <c r="I23" s="8">
        <f>$B$17+($B$13-$B$17)*I21/$B$16</f>
        <v>0.049634230261582826</v>
      </c>
      <c r="J23" s="8">
        <f>$B$17+($B$13-$B$17)*J21/$B$16</f>
        <v>0.0373171151307914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12547000000</v>
      </c>
      <c r="C24" s="9">
        <f>B24*(1+B23)</f>
        <v>14251560591.91436</v>
      </c>
      <c r="D24" s="9">
        <f>C24*(1+C23)</f>
        <v>16012154507.544695</v>
      </c>
      <c r="E24" s="9">
        <f>D24*(1+D23)</f>
        <v>17793023224.163456</v>
      </c>
      <c r="F24" s="9">
        <f>E24*(1+E23)</f>
        <v>19552801098.228745</v>
      </c>
      <c r="G24" s="9">
        <f>F24*(1+F23)</f>
        <v>21245791636.966206</v>
      </c>
      <c r="H24" s="9">
        <f>G24*(1+G23)</f>
        <v>22823683874.439636</v>
      </c>
      <c r="I24" s="9">
        <f>H24*(1+H23)</f>
        <v>24237641797.27141</v>
      </c>
      <c r="J24" s="9">
        <f>I24*(1+I23)</f>
        <v>25440658491.234947</v>
      </c>
      <c r="K24" s="9">
        <f>J24*(1+J23)</f>
        <v>26390030473.155506</v>
      </c>
    </row>
    <row r="25" spans="1:11" x14ac:dyDescent="0.25">
      <c r="A25" t="s">
        <v>33</v>
      </c>
      <c r="B25" s="9">
        <f>(B22-$B$9)*B24</f>
        <v>1231780430.1411912</v>
      </c>
      <c r="C25" s="9">
        <f>(C22-$B$9)*C24</f>
        <v>1399122773.2598646</v>
      </c>
      <c r="D25" s="9">
        <f>(D22-$B$9)*D24</f>
        <v>1571966092.8341928</v>
      </c>
      <c r="E25" s="9">
        <f>(E22-$B$9)*E24</f>
        <v>1746799856.5850217</v>
      </c>
      <c r="F25" s="9">
        <f>(F22-$B$9)*F24</f>
        <v>1919563062.6636932</v>
      </c>
      <c r="G25" s="9">
        <f>(G22-$B$9)*G24</f>
        <v>2085769535.448502</v>
      </c>
      <c r="H25" s="9">
        <f>(H22-$B$9)*H24</f>
        <v>2240676427.852381</v>
      </c>
      <c r="I25" s="9">
        <f>(I22-$B$9)*I24</f>
        <v>2379489347.1468153</v>
      </c>
      <c r="J25" s="9">
        <f>(J22-$B$9)*J24</f>
        <v>2497593469.308084</v>
      </c>
      <c r="K25" s="9">
        <f>(K22-$B$9)*K24</f>
        <v>2590796452.3521667</v>
      </c>
    </row>
    <row r="26" spans="1:11" x14ac:dyDescent="0.25">
      <c r="A26" t="s">
        <v>34</v>
      </c>
      <c r="B26" s="14">
        <f>1/(1+$B$9)^B21</f>
        <v>0.9279324415000001</v>
      </c>
      <c r="C26" s="14">
        <f>1/(1+$B$9)^C21</f>
        <v>0.8610586159881513</v>
      </c>
      <c r="D26" s="14">
        <f>1/(1+$B$9)^D21</f>
        <v>0.7990042238084961</v>
      </c>
      <c r="E26" s="14">
        <f>1/(1+$B$9)^E21</f>
        <v>0.7414219401674305</v>
      </c>
      <c r="F26" s="14">
        <f>1/(1+$B$9)^F21</f>
        <v>0.6879894711212308</v>
      </c>
      <c r="G26" s="14">
        <f>1/(1+$B$9)^G21</f>
        <v>0.6384077496638174</v>
      </c>
      <c r="H26" s="14">
        <f>1/(1+$B$9)^H21</f>
        <v>0.592399261818067</v>
      </c>
      <c r="I26" s="14">
        <f>1/(1+$B$9)^I21</f>
        <v>0.5497064933616367</v>
      </c>
      <c r="J26" s="14">
        <f>1/(1+$B$9)^J21</f>
        <v>0.5100904884934672</v>
      </c>
      <c r="K26" s="14">
        <f>1/(1+$B$9)^K21</f>
        <v>0.4733295123736707</v>
      </c>
    </row>
    <row r="27" spans="1:11" x14ac:dyDescent="0.25">
      <c r="A27" s="15" t="s">
        <v>35</v>
      </c>
      <c r="B27" s="16">
        <f>B25*B26</f>
        <v>1143009021.932836</v>
      </c>
      <c r="C27" s="16">
        <f>C25*C26</f>
        <v>1204726718.740643</v>
      </c>
      <c r="D27" s="16">
        <f>D25*D26</f>
        <v>1256007547.8582585</v>
      </c>
      <c r="E27" s="16">
        <f>E25*E26</f>
        <v>1295115738.753456</v>
      </c>
      <c r="F27" s="16">
        <f>F25*F26</f>
        <v>1320639176.265844</v>
      </c>
      <c r="G27" s="16">
        <f>G25*G26</f>
        <v>1331571435.443024</v>
      </c>
      <c r="H27" s="16">
        <f>H25*H26</f>
        <v>1327375061.8328938</v>
      </c>
      <c r="I27" s="16">
        <f>I25*I26</f>
        <v>1308020745.0114462</v>
      </c>
      <c r="J27" s="16">
        <f>J25*J26</f>
        <v>1273998672.817454</v>
      </c>
      <c r="K27" s="16">
        <f>K25*K26</f>
        <v>1226300421.451287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12547000000</v>
      </c>
    </row>
    <row r="31" spans="1:2" x14ac:dyDescent="0.25">
      <c r="A31" t="s">
        <v>38</v>
      </c>
      <c r="B31" s="9">
        <f>SUM(B27:K27)</f>
        <v>12686764540.107141</v>
      </c>
    </row>
    <row r="32" spans="1:2" x14ac:dyDescent="0.25">
      <c r="A32" t="s">
        <v>39</v>
      </c>
      <c r="B32" s="9">
        <f>K24*(1+K23)</f>
        <v>27049781234.98439</v>
      </c>
    </row>
    <row r="33" spans="1:2" x14ac:dyDescent="0.25">
      <c r="A33" t="s">
        <v>40</v>
      </c>
      <c r="B33" s="9">
        <f>(B18-B9)*B32</f>
        <v>2655566363.660971</v>
      </c>
    </row>
    <row r="34" spans="1:2" x14ac:dyDescent="0.25">
      <c r="A34" t="s">
        <v>41</v>
      </c>
      <c r="B34" s="9">
        <f>B33/(B9-B13)</f>
        <v>50424066408.8006</v>
      </c>
    </row>
    <row r="35" spans="1:2" x14ac:dyDescent="0.25">
      <c r="A35" t="s">
        <v>42</v>
      </c>
      <c r="B35" s="9">
        <f>B34*K26</f>
        <v>23867198765.17518</v>
      </c>
    </row>
    <row r="36" spans="1:2" x14ac:dyDescent="0.25">
      <c r="A36" s="15" t="s">
        <v>43</v>
      </c>
      <c r="B36" s="16">
        <f>B30+B31+B35</f>
        <v>49100963305.28232</v>
      </c>
    </row>
    <row r="37" spans="1:2" x14ac:dyDescent="0.25">
      <c r="A37" s="15" t="s">
        <v>44</v>
      </c>
      <c r="B37" s="17">
        <f>B36/B15</f>
        <v>156.8720872373237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71.88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156.8720872373237</v>
      </c>
    </row>
    <row r="43" spans="1:2" x14ac:dyDescent="0.25">
      <c r="A43" s="15" t="s">
        <v>48</v>
      </c>
      <c r="B43" s="21">
        <f>B42/B40-1</f>
        <v>1.1824163499905915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1043000000</v>
      </c>
      <c r="C5" s="9">
        <v>981000000</v>
      </c>
      <c r="D5" s="9">
        <v>858000000</v>
      </c>
      <c r="E5" s="9">
        <v>659000000</v>
      </c>
      <c r="F5" s="6" t="s">
        <v>57</v>
      </c>
    </row>
    <row r="6" spans="1:6" x14ac:dyDescent="0.25">
      <c r="A6" t="s">
        <v>37</v>
      </c>
      <c r="B6" s="9">
        <v>12547000000</v>
      </c>
      <c r="C6" s="9">
        <v>6420000000</v>
      </c>
      <c r="D6" s="9">
        <v>5579000000</v>
      </c>
      <c r="E6" s="9">
        <v>4606600000</v>
      </c>
      <c r="F6" s="6" t="s">
        <v>58</v>
      </c>
    </row>
    <row r="7" spans="1:6" x14ac:dyDescent="0.25">
      <c r="A7" t="s">
        <v>59</v>
      </c>
      <c r="B7" s="9">
        <v>193000000</v>
      </c>
      <c r="C7" s="9">
        <v>154000000</v>
      </c>
      <c r="D7" s="9">
        <v>135000000</v>
      </c>
      <c r="E7" s="9">
        <v>120000000</v>
      </c>
      <c r="F7" s="6" t="s">
        <v>60</v>
      </c>
    </row>
    <row r="8" spans="1:6" x14ac:dyDescent="0.25">
      <c r="A8" t="s">
        <v>14</v>
      </c>
      <c r="B8" s="10">
        <v>313000000</v>
      </c>
      <c r="C8" s="10">
        <v>284000000</v>
      </c>
      <c r="D8" s="10">
        <v>280800000</v>
      </c>
      <c r="E8" s="10">
        <v>278658000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0.16246105919003115</v>
      </c>
      <c r="C9" s="8">
        <f>IF(AND(ISNUMBER(C5),N(D6)&gt;0),C5/D6,"")</f>
        <v>0.1758379637927944</v>
      </c>
      <c r="D9" s="8">
        <f>IF(AND(ISNUMBER(D5),N(E6)&gt;0),D5/E6,"")</f>
        <v>0.18625450440672078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0.1850431447746884</v>
      </c>
      <c r="C10" s="8">
        <f>IF(AND(ISNUMBER(C9),N(C5)&gt;0,ISNUMBER(C7)),C7/C5,"")</f>
        <v>0.15698267074413863</v>
      </c>
      <c r="D10" s="8">
        <f>IF(AND(ISNUMBER(D9),N(D5)&gt;0,ISNUMBER(D7)),D7/D5,"")</f>
        <v>0.15734265734265734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