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<sst xmlns="http://schemas.openxmlformats.org/spreadsheetml/2006/main" count="119" uniqueCount="104">
  <si>
    <t>BlueScope Steel Limited (BSL.AX)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</si>
  <si>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</si>
  <si>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</si>
  <si>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</si>
  <si>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</si>
  <si>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</si>
  <si>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</si>
  <si>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</si>
  <si>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</si>
  <si>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</si>
  <si>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</si>
  <si>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</si>
  <si>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</si>
  <si>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</si>
  <si>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</si>
  <si>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</si>
  <si>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</si>
  <si>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</si>
  <si>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</si>
  <si>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</si>
  <si>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</si>
  <si>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</si>
  <si>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</si>
  <si>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</si>
  <si>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</si>
  <si>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</si>
  <si>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</si>
  <si>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</si>
  <si>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</si>
  <si>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</si>
  <si>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</si>
  <si>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</si>
  <si>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</si>
  <si>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</si>
  <si>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</si>
  <si>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</si>
  <si>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</si>
  <si>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</si>
  <si>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</si>
  <si>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</si>
  <si>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</si>
  <si>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</si>
  <si>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</si>
  <si>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</si>
  <si>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</si>
  <si>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</si>
  <si>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</si>
  <si>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</si>
  <si>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</si>
  <si>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</si>
  <si>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</si>
  <si>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</si>
  <si>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</si>
  <si>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</si>
  <si>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</si>
  <si>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</si>
  <si>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</si>
  <si>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</si>
  <si>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</si>
  <si>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</si>
  <si>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</si>
  <si>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</si>
  <si>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</si>
  <si>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</si>
  <si>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</si>
  <si>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</si>
  <si>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</si>
  <si>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</si>
  <si>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</si>
  <si>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</si>
  <si>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</si>
  <si>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</si>
  <si>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</si>
  <si>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</si>
  <si>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</si>
  <si>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</si>
  <si>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</si>
  <si>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</si>
  <si>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</si>
  <si>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</si>
  <si>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</si>
  <si>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</si>
  <si>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</si>
  <si>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</si>
  <si>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</si>
  <si>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</si>
  <si>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</si>
  <si>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</si>
  <si>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</si>
  <si>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</si>
  <si>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</si>
  <si>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</si>
  <si>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</si>
  <si>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</si>
  <si>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</si>
  <si>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</si>
  <si>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</si>
  <si>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</si>
  <si>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</si>
  <si>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</si>
  <si>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</si>
  <si>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Capital expenditure runs at 6.7%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</si>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</sst>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-0.02963370075527727</v>
      </c>
    </row>
    <row r="7" spans="1:2" x14ac:dyDescent="0.25">
      <c r="A7" t="s">
        <v>5</v>
      </c>
      <c r="B7" s="6">
        <v>0.050779740293403784</v>
      </c>
    </row>
    <row r="8" spans="1:2" x14ac:dyDescent="0.25">
      <c r="A8" t="s">
        <v>6</v>
      </c>
      <c r="B8" s="6">
        <v>0.24803817082407506</v>
      </c>
    </row>
    <row r="9" spans="1:2" x14ac:dyDescent="0.25">
      <c r="A9" t="s">
        <v>7</v>
      </c>
      <c r="B9" s="6">
        <v>0.04065221205990514</v>
      </c>
    </row>
    <row r="10" spans="1:2" x14ac:dyDescent="0.25">
      <c r="A10" t="s">
        <v>8</v>
      </c>
      <c r="B10" s="6">
        <v>0.06681287047186284</v>
      </c>
    </row>
    <row r="11" spans="1:2" x14ac:dyDescent="0.25">
      <c r="A11" t="s">
        <v>9</v>
      </c>
      <c r="B11" s="6">
        <v>0.03442651098901099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0.06902613203193664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1.14673</v>
      </c>
      <c r="C19" s="8" t="s">
        <v>19</v>
      </c>
    </row>
    <row r="20" spans="1:2" x14ac:dyDescent="0.25">
      <c r="A20" t="s">
        <v>20</v>
      </c>
      <c r="B20" s="10">
        <f>B17+B19*B18</f>
        <v>0.1222838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1767000000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0.040214918624328466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16605900000</v>
      </c>
      <c r="C29" s="8" t="s">
        <v>30</v>
      </c>
    </row>
    <row r="30" spans="1:2" x14ac:dyDescent="0.25">
      <c r="A30" t="s">
        <v>31</v>
      </c>
      <c r="B30" s="11">
        <v>600000000</v>
      </c>
    </row>
    <row r="31" spans="1:2" x14ac:dyDescent="0.25">
      <c r="A31" t="s">
        <v>32</v>
      </c>
      <c r="B31" s="13">
        <v>441459790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-0.02963370075527727</v>
      </c>
      <c r="C5" s="10">
        <f>Assumptions!B6</f>
        <v>-0.02963370075527727</v>
      </c>
      <c r="D5" s="10">
        <f>Assumptions!B6</f>
        <v>-0.02963370075527727</v>
      </c>
      <c r="E5" s="10">
        <f>Assumptions!B6</f>
        <v>-0.02963370075527727</v>
      </c>
      <c r="F5" s="10">
        <f>Assumptions!B6</f>
        <v>-0.02963370075527727</v>
      </c>
    </row>
    <row r="6" spans="1:6" x14ac:dyDescent="0.25">
      <c r="A6" t="s">
        <v>43</v>
      </c>
      <c r="B6" s="18">
        <f>Assumptions!B29*(1+B5)</f>
        <v>16113805728.627941</v>
      </c>
      <c r="C6" s="18">
        <f>B6*(1+C5)</f>
        <v>15636294031.637108</v>
      </c>
      <c r="D6" s="18">
        <f>C6*(1+D5)</f>
        <v>15172932773.382046</v>
      </c>
      <c r="E6" s="18">
        <f>D6*(1+E5)</f>
        <v>14723302623.995703</v>
      </c>
      <c r="F6" s="18">
        <f>E6*(1+F5)</f>
        <v>14286996679.906826</v>
      </c>
    </row>
    <row r="7" spans="1:6" x14ac:dyDescent="0.25">
      <c r="A7" t="s">
        <v>5</v>
      </c>
      <c r="B7" s="10">
        <f>Assumptions!B7</f>
        <v>0.050779740293403784</v>
      </c>
      <c r="C7" s="10">
        <f>Assumptions!B7</f>
        <v>0.050779740293403784</v>
      </c>
      <c r="D7" s="10">
        <f>Assumptions!B7</f>
        <v>0.050779740293403784</v>
      </c>
      <c r="E7" s="10">
        <f>Assumptions!B7</f>
        <v>0.050779740293403784</v>
      </c>
      <c r="F7" s="10">
        <f>Assumptions!B7</f>
        <v>0.050779740293403784</v>
      </c>
    </row>
    <row r="8" spans="1:6" x14ac:dyDescent="0.25">
      <c r="A8" t="s">
        <v>44</v>
      </c>
      <c r="B8" s="18">
        <f>B6*B7</f>
        <v>818254870.038089</v>
      </c>
      <c r="C8" s="18">
        <f>C6*C7</f>
        <v>794006950.077832</v>
      </c>
      <c r="D8" s="18">
        <f>D6*D7</f>
        <v>770477585.7216151</v>
      </c>
      <c r="E8" s="18">
        <f>E6*E7</f>
        <v>747645483.5076922</v>
      </c>
      <c r="F8" s="18">
        <f>F6*F7</f>
        <v>725489980.9783907</v>
      </c>
    </row>
    <row r="9" spans="1:6" x14ac:dyDescent="0.25">
      <c r="A9" t="s">
        <v>45</v>
      </c>
      <c r="B9" s="18">
        <f>B8*(1-Assumptions!B8)</f>
        <v>615296428.8059502</v>
      </c>
      <c r="C9" s="18">
        <f>C8*(1-Assumptions!B8)</f>
        <v>597062918.5589238</v>
      </c>
      <c r="D9" s="18">
        <f>D8*(1-Assumptions!B8)</f>
        <v>579369734.6982762</v>
      </c>
      <c r="E9" s="18">
        <f>E8*(1-Assumptions!B8)</f>
        <v>562200865.3535631</v>
      </c>
      <c r="F9" s="18">
        <f>F8*(1-Assumptions!B8)</f>
        <v>545540773.1453177</v>
      </c>
    </row>
    <row r="10" spans="1:6" x14ac:dyDescent="0.25">
      <c r="A10" t="s">
        <v>46</v>
      </c>
      <c r="B10" s="18">
        <f>B6*Assumptions!B9</f>
        <v>655061847.5722973</v>
      </c>
      <c r="C10" s="18">
        <f>C6*Assumptions!B9</f>
        <v>635649940.8051409</v>
      </c>
      <c r="D10" s="18">
        <f>D6*Assumptions!B9</f>
        <v>616813280.6742116</v>
      </c>
      <c r="E10" s="18">
        <f>E6*Assumptions!B9</f>
        <v>598534820.4928311</v>
      </c>
      <c r="F10" s="18">
        <f>F6*Assumptions!B9</f>
        <v>580798018.730733</v>
      </c>
    </row>
    <row r="11" spans="1:6" x14ac:dyDescent="0.25">
      <c r="A11" t="s">
        <v>47</v>
      </c>
      <c r="B11" s="18">
        <f>-B6*Assumptions!B10</f>
        <v>-1076609614.95558</v>
      </c>
      <c r="C11" s="18">
        <f>-C6*Assumptions!B10</f>
        <v>-1044705687.795732</v>
      </c>
      <c r="D11" s="18">
        <f>-D6*Assumptions!B10</f>
        <v>-1013747192.0662572</v>
      </c>
      <c r="E11" s="18">
        <f>-E6*Assumptions!B10</f>
        <v>-983706111.1350632</v>
      </c>
      <c r="F11" s="18">
        <f>-F6*Assumptions!B10</f>
        <v>-954555258.6065491</v>
      </c>
    </row>
    <row r="12" spans="1:6" x14ac:dyDescent="0.25">
      <c r="A12" t="s">
        <v>48</v>
      </c>
      <c r="B12" s="18">
        <f>-(B6-Assumptions!B29)*Assumptions!B11</f>
        <v>16941088.84101954</v>
      </c>
      <c r="C12" s="18">
        <f>-(C6-B6)*Assumptions!B11</f>
        <v>16439061.683836209</v>
      </c>
      <c r="D12" s="18">
        <f>-(D6-C6)*Assumptions!B11</f>
        <v>15951911.449199855</v>
      </c>
      <c r="E12" s="18">
        <f>-(E6-D6)*Assumptions!B11</f>
        <v>15479197.278839592</v>
      </c>
      <c r="F12" s="18">
        <f>-(F6-E6)*Assumptions!B11</f>
        <v>15020491.37874653</v>
      </c>
    </row>
    <row r="13" spans="1:6" x14ac:dyDescent="0.25">
      <c r="A13" s="19" t="s">
        <v>49</v>
      </c>
      <c r="B13" s="20">
        <f>B9+B10+B11+B12</f>
        <v>210689750.26368704</v>
      </c>
      <c r="C13" s="20">
        <f>C9+C10+C11+C12</f>
        <v>204446233.2521689</v>
      </c>
      <c r="D13" s="20">
        <f>D9+D10+D11+D12</f>
        <v>198387734.7554304</v>
      </c>
      <c r="E13" s="20">
        <f>E9+E10+E11+E12</f>
        <v>192508771.99017048</v>
      </c>
      <c r="F13" s="20">
        <f>F9+F10+F11+F12</f>
        <v>186804024.6482481</v>
      </c>
    </row>
    <row r="14" spans="1:6" x14ac:dyDescent="0.25">
      <c r="A14" t="s">
        <v>50</v>
      </c>
      <c r="B14" s="21">
        <f>1/(1+Assumptions!$B$26)^(1-0.5*Assumptions!$B$32)</f>
        <v>0.9804793716561897</v>
      </c>
      <c r="C14" s="21">
        <f>1/(1+Assumptions!$B$26)^(2-0.5*Assumptions!$B$32)</f>
        <v>0.9425738413296955</v>
      </c>
      <c r="D14" s="21">
        <f>1/(1+Assumptions!$B$26)^(3-0.5*Assumptions!$B$32)</f>
        <v>0.9061337464533175</v>
      </c>
      <c r="E14" s="21">
        <f>1/(1+Assumptions!$B$26)^(4-0.5*Assumptions!$B$32)</f>
        <v>0.8711024329968932</v>
      </c>
      <c r="F14" s="21">
        <f>1/(1+Assumptions!$B$26)^(5-0.5*Assumptions!$B$32)</f>
        <v>0.8374254371864954</v>
      </c>
    </row>
    <row r="15" spans="1:6" x14ac:dyDescent="0.25">
      <c r="A15" s="19" t="s">
        <v>51</v>
      </c>
      <c r="B15" s="20">
        <f>B13*B14</f>
        <v>206576953.9529394</v>
      </c>
      <c r="C15" s="20">
        <f>C13*C14</f>
        <v>192705671.42188376</v>
      </c>
      <c r="D15" s="20">
        <f>D13*D14</f>
        <v>179765821.34432516</v>
      </c>
      <c r="E15" s="20">
        <f>E13*E14</f>
        <v>167694859.65388167</v>
      </c>
      <c r="F15" s="20">
        <f>F13*F14</f>
        <v>156434442.00925604</v>
      </c>
    </row>
    <row r="17" spans="1:2" x14ac:dyDescent="0.25">
      <c r="A17" s="22" t="s">
        <v>52</v>
      </c>
      <c r="B17" s="23">
        <f>SUM(B15:F15)</f>
        <v>903177748.382286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186804024.6482481</v>
      </c>
    </row>
    <row r="5" spans="1:2" x14ac:dyDescent="0.25">
      <c r="A5" t="s">
        <v>56</v>
      </c>
      <c r="B5" s="18">
        <f>IF(Assumptions!$B$33=0,B4,B4-Forecast!F11-Forecast!F10-Forecast!F12)</f>
        <v>545540773.1453177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0.3621816732890833</v>
      </c>
    </row>
    <row r="7" spans="1:2" x14ac:dyDescent="0.25">
      <c r="A7" t="s">
        <v>58</v>
      </c>
      <c r="B7" s="18">
        <f>-MAX(Forecast!F9,0)*B6</f>
        <v>-197584870.06519136</v>
      </c>
    </row>
    <row r="8" spans="1:2" x14ac:dyDescent="0.25">
      <c r="A8" t="s">
        <v>59</v>
      </c>
      <c r="B8" s="18">
        <f>IF(OR(Assumptions!$B$33=0,Assumptions!B12&lt;=0),B5,MAX(B5+B7,0))</f>
        <v>347955903.0801263</v>
      </c>
    </row>
    <row r="9" spans="1:2" x14ac:dyDescent="0.25">
      <c r="A9" t="s">
        <v>60</v>
      </c>
      <c r="B9" s="18">
        <f>B8*(1+Assumptions!B12)/(Assumptions!B26-Assumptions!B12)</f>
        <v>23441124429.469036</v>
      </c>
    </row>
    <row r="10" spans="1:2" x14ac:dyDescent="0.25">
      <c r="A10" t="s">
        <v>61</v>
      </c>
      <c r="B10" s="18">
        <f>B9/(1+Assumptions!B26)^(5-0.5*Assumptions!B32)</f>
        <v>19630193873.491146</v>
      </c>
    </row>
    <row r="11" spans="1:2" x14ac:dyDescent="0.25">
      <c r="A11" t="s">
        <v>62</v>
      </c>
      <c r="B11" s="18">
        <f>Forecast!B17+B10</f>
        <v>20533371621.873432</v>
      </c>
    </row>
    <row r="12" spans="1:2" x14ac:dyDescent="0.25">
      <c r="A12" t="s">
        <v>63</v>
      </c>
      <c r="B12" s="18">
        <f>-Assumptions!B30</f>
        <v>-600000000</v>
      </c>
    </row>
    <row r="13" spans="1:2" x14ac:dyDescent="0.25">
      <c r="A13" t="s">
        <v>64</v>
      </c>
      <c r="B13" s="18">
        <f>B11+B12</f>
        <v>19933371621.873432</v>
      </c>
    </row>
    <row r="14" spans="1:2" x14ac:dyDescent="0.25">
      <c r="A14" s="19" t="s">
        <v>65</v>
      </c>
      <c r="B14" s="24">
        <f>B13/Assumptions!B31</f>
        <v>45.15331197406095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1306287999.7091236</v>
      </c>
    </row>
    <row r="18" spans="1:2" x14ac:dyDescent="0.25">
      <c r="A18" t="s">
        <v>60</v>
      </c>
      <c r="B18" s="18">
        <f>B17*Assumptions!B13</f>
        <v>10450303997.672989</v>
      </c>
    </row>
    <row r="19" spans="1:2" x14ac:dyDescent="0.25">
      <c r="A19" t="s">
        <v>61</v>
      </c>
      <c r="B19" s="18">
        <f>B18/(1+Assumptions!B26)^(5-0.5*Assumptions!B32)</f>
        <v>8751350393.983084</v>
      </c>
    </row>
    <row r="20" spans="1:2" x14ac:dyDescent="0.25">
      <c r="A20" t="s">
        <v>62</v>
      </c>
      <c r="B20" s="18">
        <f>Forecast!B17+B19</f>
        <v>9654528142.36537</v>
      </c>
    </row>
    <row r="21" spans="1:2" x14ac:dyDescent="0.25">
      <c r="A21" t="s">
        <v>63</v>
      </c>
      <c r="B21" s="18">
        <f>-Assumptions!B30</f>
        <v>-600000000</v>
      </c>
    </row>
    <row r="22" spans="1:2" x14ac:dyDescent="0.25">
      <c r="A22" t="s">
        <v>64</v>
      </c>
      <c r="B22" s="18">
        <f>B20+B21</f>
        <v>9054528142.36537</v>
      </c>
    </row>
    <row r="23" spans="1:2" x14ac:dyDescent="0.25">
      <c r="A23" s="19" t="s">
        <v>65</v>
      </c>
      <c r="B23" s="25">
        <f>B22/Assumptions!B31</f>
        <v>20.510425518857268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30.07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45.15331197406095</v>
      </c>
    </row>
    <row r="29" spans="1:2" x14ac:dyDescent="0.25">
      <c r="A29" s="19" t="s">
        <v>73</v>
      </c>
      <c r="B29" s="12">
        <f>B28/B26-1</f>
        <v>0.5016066502847005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0.020215</v>
      </c>
      <c r="B5" s="31">
        <v>172.82196037404762</v>
      </c>
      <c r="C5" s="31">
        <v>3806.1737434783035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0.030215</v>
      </c>
      <c r="B6" s="31">
        <v>57.168709205247765</v>
      </c>
      <c r="C6" s="31">
        <v>77.3884621834293</v>
      </c>
      <c r="D6" s="31">
        <v>136.23038395666165</v>
      </c>
      <c r="E6" s="31">
        <v>2928.2643904587253</v>
      </c>
      <c r="F6" s="31" t="s">
        <v>76</v>
      </c>
    </row>
    <row r="7" spans="1:6" x14ac:dyDescent="0.25">
      <c r="A7" s="30">
        <v>0.040215</v>
      </c>
      <c r="B7" s="31">
        <v>33.2914057228621</v>
      </c>
      <c r="C7" s="31">
        <v>37.77383601322204</v>
      </c>
      <c r="D7" s="32">
        <v>45.15305811830068</v>
      </c>
      <c r="E7" s="31">
        <v>59.6828045119875</v>
      </c>
      <c r="F7" s="31">
        <v>101.93025915001071</v>
      </c>
    </row>
    <row r="8" spans="1:6" x14ac:dyDescent="0.25">
      <c r="A8" s="30">
        <v>0.050215</v>
      </c>
      <c r="B8" s="31">
        <v>23.003351655365748</v>
      </c>
      <c r="C8" s="31">
        <v>24.408317804074663</v>
      </c>
      <c r="D8" s="31">
        <v>26.34200236860767</v>
      </c>
      <c r="E8" s="31">
        <v>29.19672670624214</v>
      </c>
      <c r="F8" s="31">
        <v>33.88051556863905</v>
      </c>
    </row>
    <row r="9" spans="1:6" x14ac:dyDescent="0.25">
      <c r="A9" s="30">
        <v>0.060215</v>
      </c>
      <c r="B9" s="31">
        <v>17.286765513672</v>
      </c>
      <c r="C9" s="31">
        <v>17.709058600411243</v>
      </c>
      <c r="D9" s="31">
        <v>18.231731673396474</v>
      </c>
      <c r="E9" s="31">
        <v>18.90461759027094</v>
      </c>
      <c r="F9" s="31">
        <v>19.81707556810139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16605900000</v>
      </c>
      <c r="C5" s="18">
        <v>16252800000</v>
      </c>
      <c r="D5" s="18">
        <v>17009400000</v>
      </c>
      <c r="E5" s="18">
        <v>18174200000</v>
      </c>
      <c r="F5" s="8" t="s">
        <v>85</v>
      </c>
    </row>
    <row r="6" spans="1:6" x14ac:dyDescent="0.25">
      <c r="A6" t="s">
        <v>44</v>
      </c>
      <c r="B6" s="18">
        <v>945800000</v>
      </c>
      <c r="C6" s="18">
        <v>110400000</v>
      </c>
      <c r="D6" s="18">
        <v>1104700000</v>
      </c>
      <c r="E6" s="18">
        <v>1352600000</v>
      </c>
      <c r="F6" s="8" t="s">
        <v>86</v>
      </c>
    </row>
    <row r="7" spans="1:6" x14ac:dyDescent="0.25">
      <c r="A7" t="s">
        <v>87</v>
      </c>
      <c r="B7" s="18">
        <v>692900000</v>
      </c>
      <c r="C7" s="18">
        <v>713900000</v>
      </c>
      <c r="D7" s="18">
        <v>692900000</v>
      </c>
      <c r="E7" s="18">
        <v>658300000</v>
      </c>
      <c r="F7" s="8" t="s">
        <v>88</v>
      </c>
    </row>
    <row r="8" spans="1:6" x14ac:dyDescent="0.25">
      <c r="A8" t="s">
        <v>89</v>
      </c>
      <c r="B8" s="18">
        <v>1485700000</v>
      </c>
      <c r="C8" s="18">
        <v>1233400000</v>
      </c>
      <c r="D8" s="18">
        <v>976300000</v>
      </c>
      <c r="E8" s="18">
        <v>808700000</v>
      </c>
      <c r="F8" s="8" t="s">
        <v>90</v>
      </c>
    </row>
    <row r="9" spans="1:6" x14ac:dyDescent="0.25">
      <c r="A9" t="s">
        <v>91</v>
      </c>
      <c r="B9" s="18">
        <v>-216200000</v>
      </c>
      <c r="C9" s="18">
        <v>-38400000</v>
      </c>
      <c r="D9" s="18">
        <v>-40100000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1767000000</v>
      </c>
      <c r="C10" s="18">
        <v>886000000</v>
      </c>
      <c r="D10" s="18">
        <v>721500000</v>
      </c>
      <c r="E10" s="18">
        <v>786500000</v>
      </c>
      <c r="F10" s="8" t="s">
        <v>94</v>
      </c>
    </row>
    <row r="11" spans="1:6" x14ac:dyDescent="0.25">
      <c r="A11" t="s">
        <v>95</v>
      </c>
      <c r="B11" s="18">
        <v>1167000000</v>
      </c>
      <c r="C11" s="18">
        <v>857600000</v>
      </c>
      <c r="D11" s="18">
        <v>1085500000</v>
      </c>
      <c r="E11" s="18">
        <v>1489800000</v>
      </c>
      <c r="F11" s="8" t="s">
        <v>96</v>
      </c>
    </row>
    <row r="12" spans="1:6" x14ac:dyDescent="0.25">
      <c r="A12" t="s">
        <v>32</v>
      </c>
      <c r="B12" s="34">
        <v>441459790</v>
      </c>
      <c r="C12" s="34">
        <v>441052632</v>
      </c>
      <c r="D12" s="34">
        <v>450867375</v>
      </c>
      <c r="E12" s="34">
        <v>467655236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