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<sst xmlns="http://schemas.openxmlformats.org/spreadsheetml/2006/main" count="119" uniqueCount="106">
  <si>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Boston Scientific Corporation (BSX)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</si>
  <si>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</si>
  <si>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</si>
  <si>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</si>
  <si>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</si>
  <si>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</si>
  <si>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</si>
  <si>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</si>
  <si>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</si>
  <si>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</si>
  <si>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</si>
  <si>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</si>
  <si>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</si>
  <si>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</si>
  <si>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</si>
  <si>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</si>
  <si>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</si>
  <si>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</si>
  <si>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</si>
  <si>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</si>
  <si>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</si>
  <si>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</si>
  <si>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</si>
  <si>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</si>
  <si>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11.4x interest cover. Book interest / average debt was lower, at 3.1%.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</si>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</sst>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0.044567730895686</v>
      </c>
    </row>
    <row r="7" spans="1:2" x14ac:dyDescent="0.25">
      <c r="A7" t="s">
        <v>4</v>
      </c>
      <c r="B7" s="5">
        <v>0.17679800067354629</v>
      </c>
    </row>
    <row r="8" spans="1:2" x14ac:dyDescent="0.25">
      <c r="A8" t="s">
        <v>5</v>
      </c>
      <c r="B8" s="5">
        <v>0.19452267995946815</v>
      </c>
    </row>
    <row r="9" spans="1:2" x14ac:dyDescent="0.25">
      <c r="A9" t="s">
        <v>6</v>
      </c>
      <c r="B9" s="5">
        <v>0.07937178982752231</v>
      </c>
    </row>
    <row r="10" spans="1:3" x14ac:dyDescent="0.25">
      <c r="A10" t="s">
        <v>7</v>
      </c>
      <c r="B10" s="5">
        <v>0.05615522723353711</v>
      </c>
      <c r="C10" s="6" t="s">
        <v>8</v>
      </c>
    </row>
    <row r="11" spans="1:2" x14ac:dyDescent="0.25">
      <c r="A11" t="s">
        <v>9</v>
      </c>
      <c r="B11" s="5">
        <v>0.2492952093852733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13.804243347443341</v>
      </c>
    </row>
    <row r="14" spans="1:3" x14ac:dyDescent="0.25">
      <c r="A14" t="s">
        <v>12</v>
      </c>
      <c r="B14" s="5">
        <v>0.07391108089161909</v>
      </c>
      <c r="C14" s="6" t="s">
        <v>13</v>
      </c>
    </row>
    <row r="15" spans="1:3" x14ac:dyDescent="0.25">
      <c r="A15" t="s">
        <v>14</v>
      </c>
      <c r="B15" s="5">
        <v>0.025023691833252055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0.72195</v>
      </c>
      <c r="C19" s="6" t="s">
        <v>21</v>
      </c>
    </row>
    <row r="20" spans="1:2" x14ac:dyDescent="0.25">
      <c r="A20" t="s">
        <v>22</v>
      </c>
      <c r="B20" s="9">
        <f>B17+B19*B18</f>
        <v>0.079478485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64229855232</v>
      </c>
    </row>
    <row r="23" spans="1:2" x14ac:dyDescent="0.25">
      <c r="A23" t="s">
        <v>26</v>
      </c>
      <c r="B23" s="10">
        <v>11436000000</v>
      </c>
    </row>
    <row r="24" spans="1:2" x14ac:dyDescent="0.25">
      <c r="A24" t="s">
        <v>27</v>
      </c>
      <c r="B24" s="9">
        <f>B22/(B22+B23)</f>
        <v>0.8488618153467513</v>
      </c>
    </row>
    <row r="25" spans="1:2" x14ac:dyDescent="0.25">
      <c r="A25" t="s">
        <v>28</v>
      </c>
      <c r="B25" s="9">
        <f>1-B24</f>
        <v>0.15113818465324869</v>
      </c>
    </row>
    <row r="26" spans="1:2" x14ac:dyDescent="0.25">
      <c r="A26" t="s">
        <v>29</v>
      </c>
      <c r="B26" s="11">
        <f>B24*B20+B25*B21*(1-B8)</f>
        <v>0.07391108089161909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20074000000</v>
      </c>
      <c r="C29" s="6" t="s">
        <v>32</v>
      </c>
    </row>
    <row r="30" spans="1:2" x14ac:dyDescent="0.25">
      <c r="A30" t="s">
        <v>33</v>
      </c>
      <c r="B30" s="10">
        <v>9471000000</v>
      </c>
    </row>
    <row r="31" spans="1:2" x14ac:dyDescent="0.25">
      <c r="A31" t="s">
        <v>34</v>
      </c>
      <c r="B31" s="12">
        <v>1494500000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0.044567730895686</v>
      </c>
      <c r="C5" s="5">
        <v>0.0027638871711328505</v>
      </c>
      <c r="D5" s="5">
        <v>0.005543401274741244</v>
      </c>
      <c r="E5" s="5">
        <v>0.008322915378349638</v>
      </c>
      <c r="F5" s="5">
        <v>0.011102429481958033</v>
      </c>
      <c r="G5" s="5">
        <v>0.013881943585566426</v>
      </c>
      <c r="H5" s="5">
        <v>0.01666145768917482</v>
      </c>
      <c r="I5" s="5">
        <v>0.019440971792783215</v>
      </c>
      <c r="J5" s="5">
        <v>0.02222048589639161</v>
      </c>
      <c r="K5" s="5">
        <v>0.025</v>
      </c>
    </row>
    <row r="6" spans="1:11" x14ac:dyDescent="0.25">
      <c r="A6" t="s">
        <v>50</v>
      </c>
      <c r="B6" s="18">
        <f>Assumptions!B29*(1+B5)</f>
        <v>20968652630</v>
      </c>
      <c r="C6" s="18">
        <f>B6*(1+C5)</f>
        <v>21026607620</v>
      </c>
      <c r="D6" s="18">
        <f>C6*(1+D5)</f>
        <v>21143166543.48419</v>
      </c>
      <c r="E6" s="18">
        <f>D6*(1+E5)</f>
        <v>21319139329.455967</v>
      </c>
      <c r="F6" s="18">
        <f>E6*(1+F5)</f>
        <v>21555833570.477287</v>
      </c>
      <c r="G6" s="18">
        <f>F6*(1+G5)</f>
        <v>21855070436.04251</v>
      </c>
      <c r="H6" s="18">
        <f>G6*(1+H5)</f>
        <v>22219207767.40657</v>
      </c>
      <c r="I6" s="18">
        <f>H6*(1+I5)</f>
        <v>22651170758.870712</v>
      </c>
      <c r="J6" s="18">
        <f>I6*(1+J5)</f>
        <v>23154490779.25496</v>
      </c>
      <c r="K6" s="18">
        <f>J6*(1+K5)</f>
        <v>23733353048.736332</v>
      </c>
    </row>
    <row r="7" spans="1:11" x14ac:dyDescent="0.25">
      <c r="A7" t="s">
        <v>4</v>
      </c>
      <c r="B7" s="9">
        <f>Assumptions!B7</f>
        <v>0.17679800067354629</v>
      </c>
      <c r="C7" s="9">
        <f>Assumptions!B7</f>
        <v>0.17679800067354629</v>
      </c>
      <c r="D7" s="9">
        <f>Assumptions!B7</f>
        <v>0.17679800067354629</v>
      </c>
      <c r="E7" s="9">
        <f>Assumptions!B7</f>
        <v>0.17679800067354629</v>
      </c>
      <c r="F7" s="9">
        <f>Assumptions!B7</f>
        <v>0.17679800067354629</v>
      </c>
      <c r="G7" s="9">
        <f>Assumptions!B7</f>
        <v>0.17679800067354629</v>
      </c>
      <c r="H7" s="9">
        <f>Assumptions!B7</f>
        <v>0.17679800067354629</v>
      </c>
      <c r="I7" s="9">
        <f>Assumptions!B7</f>
        <v>0.17679800067354629</v>
      </c>
      <c r="J7" s="9">
        <f>Assumptions!B7</f>
        <v>0.17679800067354629</v>
      </c>
      <c r="K7" s="9">
        <f>Assumptions!B7</f>
        <v>0.17679800067354629</v>
      </c>
    </row>
    <row r="8" spans="1:11" x14ac:dyDescent="0.25">
      <c r="A8" t="s">
        <v>51</v>
      </c>
      <c r="B8" s="18">
        <f>B6*B7</f>
        <v>3707215861.8020983</v>
      </c>
      <c r="C8" s="18">
        <f>C6*C7</f>
        <v>3717462188.1631536</v>
      </c>
      <c r="D8" s="18">
        <f>D6*D7</f>
        <v>3738069572.7958193</v>
      </c>
      <c r="E8" s="18">
        <f>E6*E7</f>
        <v>3769181209.528583</v>
      </c>
      <c r="F8" s="18">
        <f>F6*F7</f>
        <v>3811028278.112095</v>
      </c>
      <c r="G8" s="18">
        <f>G6*G7</f>
        <v>3863932757.6718454</v>
      </c>
      <c r="H8" s="18">
        <f>H6*H7</f>
        <v>3928311509.827612</v>
      </c>
      <c r="I8" s="18">
        <f>I6*I7</f>
        <v>4004681703.083436</v>
      </c>
      <c r="J8" s="18">
        <f>J6*J7</f>
        <v>4093667676.3863397</v>
      </c>
      <c r="K8" s="18">
        <f>K6*K7</f>
        <v>4196009368.2959976</v>
      </c>
    </row>
    <row r="9" spans="1:11" x14ac:dyDescent="0.25">
      <c r="A9" t="s">
        <v>52</v>
      </c>
      <c r="B9" s="18">
        <f>B8*(1-Assumptions!B8)</f>
        <v>2986078297.176105</v>
      </c>
      <c r="C9" s="18">
        <f>C8*(1-Assumptions!B8)</f>
        <v>2994331480.6736684</v>
      </c>
      <c r="D9" s="18">
        <f>D8*(1-Assumptions!B8)</f>
        <v>3010930261.620632</v>
      </c>
      <c r="E9" s="18">
        <f>E8*(1-Assumptions!B8)</f>
        <v>3035989979.3982134</v>
      </c>
      <c r="F9" s="18">
        <f>F8*(1-Assumptions!B8)</f>
        <v>3069696844.052413</v>
      </c>
      <c r="G9" s="18">
        <f>G8*(1-Assumptions!B8)</f>
        <v>3112310202.46634</v>
      </c>
      <c r="H9" s="18">
        <f>H8*(1-Assumptions!B8)</f>
        <v>3164165827.22032</v>
      </c>
      <c r="I9" s="18">
        <f>I8*(1-Assumptions!B8)</f>
        <v>3225680285.814999</v>
      </c>
      <c r="J9" s="18">
        <f>J8*(1-Assumptions!B8)</f>
        <v>3297356469.1122203</v>
      </c>
      <c r="K9" s="18">
        <f>K8*(1-Assumptions!B8)</f>
        <v>3379790380.840025</v>
      </c>
    </row>
    <row r="10" spans="1:11" x14ac:dyDescent="0.25">
      <c r="A10" t="s">
        <v>53</v>
      </c>
      <c r="B10" s="18">
        <f>B6*Assumptions!B9</f>
        <v>1664319489.514683</v>
      </c>
      <c r="C10" s="18">
        <f>C6*Assumptions!B9</f>
        <v>1668919480.800419</v>
      </c>
      <c r="D10" s="18">
        <f>D6*Assumptions!B9</f>
        <v>1678170971.1777287</v>
      </c>
      <c r="E10" s="18">
        <f>E6*Assumptions!B9</f>
        <v>1692138246.161244</v>
      </c>
      <c r="F10" s="18">
        <f>F6*Assumptions!B9</f>
        <v>1710925091.712973</v>
      </c>
      <c r="G10" s="18">
        <f>G6*Assumptions!B9</f>
        <v>1734676057.3152626</v>
      </c>
      <c r="H10" s="18">
        <f>H6*Assumptions!B9</f>
        <v>1763578289.0486455</v>
      </c>
      <c r="I10" s="18">
        <f>I6*Assumptions!B9</f>
        <v>1797863964.8204052</v>
      </c>
      <c r="J10" s="18">
        <f>J6*Assumptions!B9</f>
        <v>1837813375.694328</v>
      </c>
      <c r="K10" s="18">
        <f>K6*Assumptions!B9</f>
        <v>1883758710.0866861</v>
      </c>
    </row>
    <row r="11" spans="1:11" x14ac:dyDescent="0.25">
      <c r="A11" t="s">
        <v>54</v>
      </c>
      <c r="B11" s="18">
        <f>-B6*B19</f>
        <v>-1177499453.2187555</v>
      </c>
      <c r="C11" s="18">
        <f>-C6*C19</f>
        <v>-1255150221.1479588</v>
      </c>
      <c r="D11" s="18">
        <f>-D6*D19</f>
        <v>-1336916723.2818503</v>
      </c>
      <c r="E11" s="18">
        <f>-E6*E19</f>
        <v>-1423475095.32192</v>
      </c>
      <c r="F11" s="18">
        <f>-F6*F19</f>
        <v>-1515547925.463253</v>
      </c>
      <c r="G11" s="18">
        <f>-G6*G19</f>
        <v>-1613914233.6969638</v>
      </c>
      <c r="H11" s="18">
        <f>-H6*H19</f>
        <v>-1719420344.6732175</v>
      </c>
      <c r="I11" s="18">
        <f>-I6*I19</f>
        <v>-1832991864.764599</v>
      </c>
      <c r="J11" s="18">
        <f>-J6*J19</f>
        <v>-1955646997.99493</v>
      </c>
      <c r="K11" s="18">
        <f>-K6*K19</f>
        <v>-2088511465.37971</v>
      </c>
    </row>
    <row r="12" spans="1:11" x14ac:dyDescent="0.25">
      <c r="A12" t="s">
        <v>55</v>
      </c>
      <c r="B12" s="18">
        <f>-(B6-Assumptions!B29)*Assumptions!B11</f>
        <v>-223032614.72293544</v>
      </c>
      <c r="C12" s="18">
        <f>-(C6-B6)*Assumptions!B11</f>
        <v>-14447901.36697142</v>
      </c>
      <c r="D12" s="18">
        <f>-(D6-C6)*Assumptions!B11</f>
        <v>-29057581.23571367</v>
      </c>
      <c r="E12" s="18">
        <f>-(E6-D6)*Assumptions!B11</f>
        <v>-43869172.524943545</v>
      </c>
      <c r="F12" s="18">
        <f>-(F6-E6)*Assumptions!B11</f>
        <v>-59006740.3756984</v>
      </c>
      <c r="G12" s="18">
        <f>-(G6-F6)*Assumptions!B11</f>
        <v>-74598317.05687532</v>
      </c>
      <c r="H12" s="18">
        <f>-(H6-G6)*Assumptions!B11</f>
        <v>-90777692.26739785</v>
      </c>
      <c r="I12" s="18">
        <f>-(I6-H6)*Assumptions!B11</f>
        <v>-107686304.40374227</v>
      </c>
      <c r="J12" s="18">
        <f>-(J6-I6)*Assumptions!B11</f>
        <v>-125475269.86949085</v>
      </c>
      <c r="K12" s="18">
        <f>-(K6-J6)*Assumptions!B11</f>
        <v>-144307590.67559335</v>
      </c>
    </row>
    <row r="13" spans="1:11" x14ac:dyDescent="0.25">
      <c r="A13" s="19" t="s">
        <v>56</v>
      </c>
      <c r="B13" s="20">
        <f>B9+B10+B11+B12</f>
        <v>3249865718.749097</v>
      </c>
      <c r="C13" s="20">
        <f>C9+C10+C11+C12</f>
        <v>3393652838.9591575</v>
      </c>
      <c r="D13" s="20">
        <f>D9+D10+D11+D12</f>
        <v>3323126928.280797</v>
      </c>
      <c r="E13" s="20">
        <f>E9+E10+E11+E12</f>
        <v>3260783957.7125945</v>
      </c>
      <c r="F13" s="20">
        <f>F9+F10+F11+F12</f>
        <v>3206067269.926435</v>
      </c>
      <c r="G13" s="20">
        <f>G9+G10+G11+G12</f>
        <v>3158473709.027764</v>
      </c>
      <c r="H13" s="20">
        <f>H9+H10+H11+H12</f>
        <v>3117546079.32835</v>
      </c>
      <c r="I13" s="20">
        <f>I9+I10+I11+I12</f>
        <v>3082866081.4670634</v>
      </c>
      <c r="J13" s="20">
        <f>J9+J10+J11+J12</f>
        <v>3054047576.942127</v>
      </c>
      <c r="K13" s="20">
        <f>K9+K10+K11+K12</f>
        <v>3030730034.8714075</v>
      </c>
    </row>
    <row r="14" spans="1:11" x14ac:dyDescent="0.25">
      <c r="A14" t="s">
        <v>57</v>
      </c>
      <c r="B14" s="21">
        <f>1/(1+Assumptions!$B$26)^(1-0.5*Assumptions!$B$32)</f>
        <v>0.9649745026692341</v>
      </c>
      <c r="C14" s="21">
        <f>1/(1+Assumptions!$B$26)^(2-0.5*Assumptions!$B$32)</f>
        <v>0.8985608956265356</v>
      </c>
      <c r="D14" s="21">
        <f>1/(1+Assumptions!$B$26)^(3-0.5*Assumptions!$B$32)</f>
        <v>0.836718152568555</v>
      </c>
      <c r="E14" s="21">
        <f>1/(1+Assumptions!$B$26)^(4-0.5*Assumptions!$B$32)</f>
        <v>0.7791316873961915</v>
      </c>
      <c r="F14" s="21">
        <f>1/(1+Assumptions!$B$26)^(5-0.5*Assumptions!$B$32)</f>
        <v>0.7255085651498393</v>
      </c>
      <c r="G14" s="21">
        <f>1/(1+Assumptions!$B$26)^(6-0.5*Assumptions!$B$32)</f>
        <v>0.6755760118868341</v>
      </c>
      <c r="H14" s="21">
        <f>1/(1+Assumptions!$B$26)^(7-0.5*Assumptions!$B$32)</f>
        <v>0.6290800271154056</v>
      </c>
      <c r="I14" s="21">
        <f>1/(1+Assumptions!$B$26)^(8-0.5*Assumptions!$B$32)</f>
        <v>0.585784091726765</v>
      </c>
      <c r="J14" s="21">
        <f>1/(1+Assumptions!$B$26)^(9-0.5*Assumptions!$B$32)</f>
        <v>0.5454679648527468</v>
      </c>
      <c r="K14" s="21">
        <f>1/(1+Assumptions!$B$26)^(10-0.5*Assumptions!$B$32)</f>
        <v>0.5079265635287699</v>
      </c>
    </row>
    <row r="15" spans="1:11" x14ac:dyDescent="0.25">
      <c r="A15" s="19" t="s">
        <v>58</v>
      </c>
      <c r="B15" s="20">
        <f>B13*B14</f>
        <v>3136037555.691703</v>
      </c>
      <c r="C15" s="20">
        <f>C13*C14</f>
        <v>3049403734.4206758</v>
      </c>
      <c r="D15" s="20">
        <f>D13*D14</f>
        <v>2780520624.1819253</v>
      </c>
      <c r="E15" s="20">
        <f>E13*E14</f>
        <v>2540580107.2070456</v>
      </c>
      <c r="F15" s="20">
        <f>F13*F14</f>
        <v>2326029264.7781906</v>
      </c>
      <c r="G15" s="20">
        <f>G13*G14</f>
        <v>2133789071.9943936</v>
      </c>
      <c r="H15" s="20">
        <f>H13*H14</f>
        <v>1961185972.1174047</v>
      </c>
      <c r="I15" s="20">
        <f>I13*I14</f>
        <v>1805893907.447435</v>
      </c>
      <c r="J15" s="20">
        <f>J13*J14</f>
        <v>1665885116.358085</v>
      </c>
      <c r="K15" s="20">
        <f>K13*K14</f>
        <v>1539388291.5956628</v>
      </c>
    </row>
    <row r="17" spans="1:2" x14ac:dyDescent="0.25">
      <c r="A17" s="22" t="s">
        <v>59</v>
      </c>
      <c r="B17" s="23">
        <f>SUM(B15:K15)</f>
        <v>22938713645.79252</v>
      </c>
    </row>
    <row r="19" spans="1:11" x14ac:dyDescent="0.25">
      <c r="A19" t="s">
        <v>7</v>
      </c>
      <c r="B19" s="9">
        <f>Assumptions!$B$10+($B$20-Assumptions!$B$10)*0/9</f>
        <v>0.05615522723353711</v>
      </c>
      <c r="C19" s="9">
        <f>Assumptions!$B$10+($B$20-Assumptions!$B$10)*1/9</f>
        <v>0.05969342481828074</v>
      </c>
      <c r="D19" s="9">
        <f>Assumptions!$B$10+($B$20-Assumptions!$B$10)*2/9</f>
        <v>0.06323162240302437</v>
      </c>
      <c r="E19" s="9">
        <f>Assumptions!$B$10+($B$20-Assumptions!$B$10)*3/9</f>
        <v>0.066769819987768</v>
      </c>
      <c r="F19" s="9">
        <f>Assumptions!$B$10+($B$20-Assumptions!$B$10)*4/9</f>
        <v>0.07030801757251162</v>
      </c>
      <c r="G19" s="9">
        <f>Assumptions!$B$10+($B$20-Assumptions!$B$10)*5/9</f>
        <v>0.07384621515725526</v>
      </c>
      <c r="H19" s="9">
        <f>Assumptions!$B$10+($B$20-Assumptions!$B$10)*6/9</f>
        <v>0.07738441274199888</v>
      </c>
      <c r="I19" s="9">
        <f>Assumptions!$B$10+($B$20-Assumptions!$B$10)*7/9</f>
        <v>0.08092261032674251</v>
      </c>
      <c r="J19" s="9">
        <f>Assumptions!$B$10+($B$20-Assumptions!$B$10)*8/9</f>
        <v>0.08446080791148614</v>
      </c>
      <c r="K19" s="9">
        <f>Assumptions!$B$10+($B$20-Assumptions!$B$10)*9/9</f>
        <v>0.08799900549622977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0.08799900549622977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3030730034.8714075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4418745448.873608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0.338244275397071</v>
      </c>
    </row>
    <row r="7" spans="1:2" x14ac:dyDescent="0.25">
      <c r="A7" t="s">
        <v>66</v>
      </c>
      <c r="B7" s="18">
        <f>-MAX(B5,0)*B6</f>
        <v>-1494615352.5183587</v>
      </c>
    </row>
    <row r="8" spans="1:2" x14ac:dyDescent="0.25">
      <c r="A8" t="s">
        <v>67</v>
      </c>
      <c r="B8" s="18">
        <f>IF(OR(Assumptions!$B$33=0,Assumptions!B12&lt;=0),B5,MAX(B5+B7,0))</f>
        <v>2924130096.355249</v>
      </c>
    </row>
    <row r="9" spans="1:2" x14ac:dyDescent="0.25">
      <c r="A9" t="s">
        <v>68</v>
      </c>
      <c r="B9" s="18">
        <f>B8*(1+Assumptions!B12)/(Assumptions!B26-Assumptions!B12)</f>
        <v>61279229453.25271</v>
      </c>
    </row>
    <row r="10" spans="1:2" x14ac:dyDescent="0.25">
      <c r="A10" t="s">
        <v>69</v>
      </c>
      <c r="B10" s="18">
        <f>B9/(1+Assumptions!B26)^(10-0.5*Assumptions!B32)</f>
        <v>31125348431.881626</v>
      </c>
    </row>
    <row r="11" spans="1:2" x14ac:dyDescent="0.25">
      <c r="A11" t="s">
        <v>70</v>
      </c>
      <c r="B11" s="18">
        <f>Forecast!B17+B10</f>
        <v>54064062077.67415</v>
      </c>
    </row>
    <row r="12" spans="1:2" x14ac:dyDescent="0.25">
      <c r="A12" t="s">
        <v>71</v>
      </c>
      <c r="B12" s="18">
        <f>-Assumptions!B30</f>
        <v>-9471000000</v>
      </c>
    </row>
    <row r="13" spans="1:2" x14ac:dyDescent="0.25">
      <c r="A13" t="s">
        <v>72</v>
      </c>
      <c r="B13" s="18">
        <f>B11+B12</f>
        <v>44593062077.67415</v>
      </c>
    </row>
    <row r="14" spans="1:2" x14ac:dyDescent="0.25">
      <c r="A14" s="19" t="s">
        <v>73</v>
      </c>
      <c r="B14" s="24">
        <f>B13/Assumptions!B31</f>
        <v>29.83811447151164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6079768078.382684</v>
      </c>
    </row>
    <row r="18" spans="1:2" x14ac:dyDescent="0.25">
      <c r="A18" t="s">
        <v>68</v>
      </c>
      <c r="B18" s="18">
        <f>B17*Assumptions!B13</f>
        <v>83926598050.01254</v>
      </c>
    </row>
    <row r="19" spans="1:2" x14ac:dyDescent="0.25">
      <c r="A19" t="s">
        <v>69</v>
      </c>
      <c r="B19" s="18">
        <f>B18/(1+Assumptions!B26)^(10-0.5*Assumptions!B32)</f>
        <v>42628548536.20323</v>
      </c>
    </row>
    <row r="20" spans="1:2" x14ac:dyDescent="0.25">
      <c r="A20" t="s">
        <v>70</v>
      </c>
      <c r="B20" s="18">
        <f>Forecast!B17+B19</f>
        <v>65567262181.99575</v>
      </c>
    </row>
    <row r="21" spans="1:2" x14ac:dyDescent="0.25">
      <c r="A21" t="s">
        <v>71</v>
      </c>
      <c r="B21" s="18">
        <f>-Assumptions!B30</f>
        <v>-9471000000</v>
      </c>
    </row>
    <row r="22" spans="1:2" x14ac:dyDescent="0.25">
      <c r="A22" t="s">
        <v>72</v>
      </c>
      <c r="B22" s="18">
        <f>B20+B21</f>
        <v>56096262181.99575</v>
      </c>
    </row>
    <row r="23" spans="1:2" x14ac:dyDescent="0.25">
      <c r="A23" s="19" t="s">
        <v>73</v>
      </c>
      <c r="B23" s="25">
        <f>B22/Assumptions!B31</f>
        <v>37.53513695683891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44.32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29.83811447151164</v>
      </c>
    </row>
    <row r="29" spans="1:2" x14ac:dyDescent="0.25">
      <c r="A29" s="19" t="s">
        <v>81</v>
      </c>
      <c r="B29" s="11">
        <f>B28/B26-1</f>
        <v>-0.32675734495686726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0.053911</v>
      </c>
      <c r="B5" s="31">
        <v>48.627539310367474</v>
      </c>
      <c r="C5" s="31">
        <v>49.84075902504802</v>
      </c>
      <c r="D5" s="31">
        <v>51.66744041486859</v>
      </c>
      <c r="E5" s="31">
        <v>54.49242414425565</v>
      </c>
      <c r="F5" s="31">
        <v>59.10755279654682</v>
      </c>
    </row>
    <row r="6" spans="1:6" x14ac:dyDescent="0.25">
      <c r="A6" s="30">
        <v>0.063911</v>
      </c>
      <c r="B6" s="31">
        <v>37.76841345573999</v>
      </c>
      <c r="C6" s="31">
        <v>37.67695471274967</v>
      </c>
      <c r="D6" s="31">
        <v>37.69806957050329</v>
      </c>
      <c r="E6" s="31">
        <v>37.881553199038905</v>
      </c>
      <c r="F6" s="31">
        <v>38.311647982284065</v>
      </c>
    </row>
    <row r="7" spans="1:6" x14ac:dyDescent="0.25">
      <c r="A7" s="30">
        <v>0.073911</v>
      </c>
      <c r="B7" s="31">
        <v>30.808778898815607</v>
      </c>
      <c r="C7" s="31">
        <v>30.323466429206132</v>
      </c>
      <c r="D7" s="32">
        <v>29.838153959596667</v>
      </c>
      <c r="E7" s="31">
        <v>29.352841489987192</v>
      </c>
      <c r="F7" s="31">
        <v>28.867529020377717</v>
      </c>
    </row>
    <row r="8" spans="1:6" x14ac:dyDescent="0.25">
      <c r="A8" s="30">
        <v>0.083911</v>
      </c>
      <c r="B8" s="31">
        <v>26.349974854426588</v>
      </c>
      <c r="C8" s="31">
        <v>25.94533128351929</v>
      </c>
      <c r="D8" s="31">
        <v>25.540687712611994</v>
      </c>
      <c r="E8" s="31">
        <v>25.136044141704694</v>
      </c>
      <c r="F8" s="31">
        <v>24.73140057079739</v>
      </c>
    </row>
    <row r="9" spans="1:6" x14ac:dyDescent="0.25">
      <c r="A9" s="30">
        <v>0.093911</v>
      </c>
      <c r="B9" s="31">
        <v>22.84759968096686</v>
      </c>
      <c r="C9" s="31">
        <v>22.505061754214193</v>
      </c>
      <c r="D9" s="31">
        <v>22.162523827461516</v>
      </c>
      <c r="E9" s="31">
        <v>21.819985900708854</v>
      </c>
      <c r="F9" s="31">
        <v>21.47744797395618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20074000000</v>
      </c>
      <c r="C5" s="18">
        <v>16747000000</v>
      </c>
      <c r="D5" s="18">
        <v>14240000000</v>
      </c>
      <c r="E5" s="18">
        <v>12682000000</v>
      </c>
      <c r="F5" s="6" t="s">
        <v>91</v>
      </c>
    </row>
    <row r="6" spans="1:6" x14ac:dyDescent="0.25">
      <c r="A6" t="s">
        <v>51</v>
      </c>
      <c r="B6" s="18">
        <v>3971000000</v>
      </c>
      <c r="C6" s="18">
        <v>3002000000</v>
      </c>
      <c r="D6" s="18">
        <v>2417000000</v>
      </c>
      <c r="E6" s="18">
        <v>2034000000</v>
      </c>
      <c r="F6" s="6" t="s">
        <v>92</v>
      </c>
    </row>
    <row r="7" spans="1:6" x14ac:dyDescent="0.25">
      <c r="A7" t="s">
        <v>93</v>
      </c>
      <c r="B7" s="18">
        <v>1368000000</v>
      </c>
      <c r="C7" s="18">
        <v>1269000000</v>
      </c>
      <c r="D7" s="18">
        <v>1196000000</v>
      </c>
      <c r="E7" s="18">
        <v>1136000000</v>
      </c>
      <c r="F7" s="6" t="s">
        <v>94</v>
      </c>
    </row>
    <row r="8" spans="1:6" x14ac:dyDescent="0.25">
      <c r="A8" t="s">
        <v>95</v>
      </c>
      <c r="B8" s="18">
        <v>1130000000</v>
      </c>
      <c r="C8" s="18">
        <v>1070000000</v>
      </c>
      <c r="D8" s="18">
        <v>800000000</v>
      </c>
      <c r="E8" s="18">
        <v>612000000</v>
      </c>
      <c r="F8" s="6" t="s">
        <v>96</v>
      </c>
    </row>
    <row r="9" spans="1:6" x14ac:dyDescent="0.25">
      <c r="A9" t="s">
        <v>97</v>
      </c>
      <c r="B9" s="18">
        <v>246000000</v>
      </c>
      <c r="C9" s="18">
        <v>462000000</v>
      </c>
      <c r="D9" s="18">
        <v>770000000</v>
      </c>
      <c r="E9" s="18">
        <v>1005000000</v>
      </c>
      <c r="F9" s="6" t="s">
        <v>98</v>
      </c>
    </row>
    <row r="10" spans="1:6" x14ac:dyDescent="0.25">
      <c r="A10" t="s">
        <v>99</v>
      </c>
      <c r="B10" s="18">
        <v>11436000000</v>
      </c>
      <c r="C10" s="18">
        <v>10746000000</v>
      </c>
      <c r="D10" s="18">
        <v>9492000000</v>
      </c>
      <c r="E10" s="18">
        <v>9282000000</v>
      </c>
      <c r="F10" s="6" t="s">
        <v>100</v>
      </c>
    </row>
    <row r="11" spans="1:6" x14ac:dyDescent="0.25">
      <c r="A11" t="s">
        <v>101</v>
      </c>
      <c r="B11" s="18">
        <v>1965000000</v>
      </c>
      <c r="C11" s="18">
        <v>414000000</v>
      </c>
      <c r="D11" s="18">
        <v>865000000</v>
      </c>
      <c r="E11" s="18">
        <v>928000000</v>
      </c>
      <c r="F11" s="6" t="s">
        <v>102</v>
      </c>
    </row>
    <row r="12" spans="1:6" x14ac:dyDescent="0.25">
      <c r="A12" t="s">
        <v>34</v>
      </c>
      <c r="B12" s="34">
        <v>1494500000</v>
      </c>
      <c r="C12" s="34">
        <v>1485900000</v>
      </c>
      <c r="D12" s="34">
        <v>1463500000</v>
      </c>
      <c r="E12" s="34">
        <v>1439700000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