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<sst xmlns="http://schemas.openxmlformats.org/spreadsheetml/2006/main" count="112" uniqueCount="100">
  <si>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BT Group plc (BT-A.L)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</si>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</sst>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-0.01683485783331906</v>
      </c>
    </row>
    <row r="7" spans="1:2" x14ac:dyDescent="0.25">
      <c r="A7" t="s">
        <v>5</v>
      </c>
      <c r="B7" s="6">
        <v>0.16945073212379297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0.23650130354176085</v>
      </c>
    </row>
    <row r="10" spans="1:2" x14ac:dyDescent="0.25">
      <c r="A10" t="s">
        <v>8</v>
      </c>
      <c r="B10" s="6">
        <v>0.2502625066784938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4.818565572519084</v>
      </c>
    </row>
    <row r="14" spans="1:3" x14ac:dyDescent="0.25">
      <c r="A14" t="s">
        <v>12</v>
      </c>
      <c r="B14" s="6">
        <v>0.08275891843541626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0.61676</v>
      </c>
      <c r="C19" s="8" t="s">
        <v>19</v>
      </c>
    </row>
    <row r="20" spans="1:2" x14ac:dyDescent="0.25">
      <c r="A20" t="s">
        <v>20</v>
      </c>
      <c r="B20" s="10">
        <f>B17+B19*B18</f>
        <v>0.0789218</v>
      </c>
    </row>
    <row r="21" spans="1:3" x14ac:dyDescent="0.25">
      <c r="A21" t="s">
        <v>21</v>
      </c>
      <c r="B21" s="6">
        <v>0.053329859075413114</v>
      </c>
      <c r="C21" s="8" t="s">
        <v>22</v>
      </c>
    </row>
    <row r="22" spans="1:2" x14ac:dyDescent="0.25">
      <c r="A22" t="s">
        <v>23</v>
      </c>
      <c r="B22" s="11">
        <v>19396853760</v>
      </c>
    </row>
    <row r="23" spans="1:2" x14ac:dyDescent="0.25">
      <c r="A23" t="s">
        <v>24</v>
      </c>
      <c r="B23" s="11">
        <v>22720000000</v>
      </c>
    </row>
    <row r="24" spans="1:2" x14ac:dyDescent="0.25">
      <c r="A24" t="s">
        <v>25</v>
      </c>
      <c r="B24" s="10">
        <f>B22/(B22+B23)</f>
        <v>0.46054849848309276</v>
      </c>
    </row>
    <row r="25" spans="1:2" x14ac:dyDescent="0.25">
      <c r="A25" t="s">
        <v>26</v>
      </c>
      <c r="B25" s="10">
        <f>1-B24</f>
        <v>0.5394515015169072</v>
      </c>
    </row>
    <row r="26" spans="1:2" x14ac:dyDescent="0.25">
      <c r="A26" t="s">
        <v>27</v>
      </c>
      <c r="B26" s="12">
        <f>B24*B20+B25*B21*(1-B8)</f>
        <v>0.057923970903020455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19654000000</v>
      </c>
      <c r="C29" s="8" t="s">
        <v>30</v>
      </c>
    </row>
    <row r="30" spans="1:2" x14ac:dyDescent="0.25">
      <c r="A30" t="s">
        <v>31</v>
      </c>
      <c r="B30" s="11">
        <v>21002000000</v>
      </c>
    </row>
    <row r="31" spans="1:2" x14ac:dyDescent="0.25">
      <c r="A31" t="s">
        <v>32</v>
      </c>
      <c r="B31" s="13">
        <v>9853621250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-0.01683485783331906</v>
      </c>
      <c r="C5" s="10">
        <f>Assumptions!B6</f>
        <v>-0.01683485783331906</v>
      </c>
      <c r="D5" s="10">
        <f>Assumptions!B6</f>
        <v>-0.01683485783331906</v>
      </c>
      <c r="E5" s="10">
        <f>Assumptions!B6</f>
        <v>-0.01683485783331906</v>
      </c>
      <c r="F5" s="10">
        <f>Assumptions!B6</f>
        <v>-0.01683485783331906</v>
      </c>
    </row>
    <row r="6" spans="1:6" x14ac:dyDescent="0.25">
      <c r="A6" t="s">
        <v>43</v>
      </c>
      <c r="B6" s="18">
        <f>Assumptions!B29*(1+B5)</f>
        <v>19323127704.143948</v>
      </c>
      <c r="C6" s="18">
        <f>B6*(1+C5)</f>
        <v>18997825596.349617</v>
      </c>
      <c r="D6" s="18">
        <f>C6*(1+D5)</f>
        <v>18677999903.29288</v>
      </c>
      <c r="E6" s="18">
        <f>D6*(1+E5)</f>
        <v>18363558430.3102</v>
      </c>
      <c r="F6" s="18">
        <f>E6*(1+F5)</f>
        <v>18054410534.82208</v>
      </c>
    </row>
    <row r="7" spans="1:6" x14ac:dyDescent="0.25">
      <c r="A7" t="s">
        <v>5</v>
      </c>
      <c r="B7" s="10">
        <f>Assumptions!B7</f>
        <v>0.16945073212379297</v>
      </c>
      <c r="C7" s="10">
        <f>Assumptions!B7</f>
        <v>0.16945073212379297</v>
      </c>
      <c r="D7" s="10">
        <f>Assumptions!B7</f>
        <v>0.16945073212379297</v>
      </c>
      <c r="E7" s="10">
        <f>Assumptions!B7</f>
        <v>0.16945073212379297</v>
      </c>
      <c r="F7" s="10">
        <f>Assumptions!B7</f>
        <v>0.16945073212379297</v>
      </c>
    </row>
    <row r="8" spans="1:6" x14ac:dyDescent="0.25">
      <c r="A8" t="s">
        <v>44</v>
      </c>
      <c r="B8" s="18">
        <f>B6*B7</f>
        <v>3274318136.3887386</v>
      </c>
      <c r="C8" s="18">
        <f>C6*C7</f>
        <v>3219195456.0615764</v>
      </c>
      <c r="D8" s="18">
        <f>D6*D7</f>
        <v>3165000758.2211127</v>
      </c>
      <c r="E8" s="18">
        <f>E6*E7</f>
        <v>3111718420.4141135</v>
      </c>
      <c r="F8" s="18">
        <f>F6*F7</f>
        <v>3059333083.1891217</v>
      </c>
    </row>
    <row r="9" spans="1:6" x14ac:dyDescent="0.25">
      <c r="A9" t="s">
        <v>45</v>
      </c>
      <c r="B9" s="18">
        <f>B8*(1-Assumptions!B8)</f>
        <v>2455738602.291554</v>
      </c>
      <c r="C9" s="18">
        <f>C8*(1-Assumptions!B8)</f>
        <v>2414396592.046182</v>
      </c>
      <c r="D9" s="18">
        <f>D8*(1-Assumptions!B8)</f>
        <v>2373750568.6658344</v>
      </c>
      <c r="E9" s="18">
        <f>E8*(1-Assumptions!B8)</f>
        <v>2333788815.310585</v>
      </c>
      <c r="F9" s="18">
        <f>F8*(1-Assumptions!B8)</f>
        <v>2294499812.3918414</v>
      </c>
    </row>
    <row r="10" spans="1:6" x14ac:dyDescent="0.25">
      <c r="A10" t="s">
        <v>46</v>
      </c>
      <c r="B10" s="18">
        <f>B6*Assumptions!B9</f>
        <v>4569944890.533957</v>
      </c>
      <c r="C10" s="18">
        <f>C6*Assumptions!B9</f>
        <v>4493010517.995715</v>
      </c>
      <c r="D10" s="18">
        <f>D6*Assumptions!B9</f>
        <v>4417371324.681649</v>
      </c>
      <c r="E10" s="18">
        <f>E6*Assumptions!B9</f>
        <v>4343005506.433654</v>
      </c>
      <c r="F10" s="18">
        <f>F6*Assumptions!B9</f>
        <v>4269891626.1635213</v>
      </c>
    </row>
    <row r="11" spans="1:6" x14ac:dyDescent="0.25">
      <c r="A11" t="s">
        <v>47</v>
      </c>
      <c r="B11" s="18">
        <f>-B6*Assumptions!B10</f>
        <v>-4835854376.107714</v>
      </c>
      <c r="C11" s="18">
        <f>-C6*Assumptions!B10</f>
        <v>-4754443455.183307</v>
      </c>
      <c r="D11" s="18">
        <f>-D6*Assumptions!B10</f>
        <v>-4674403075.538741</v>
      </c>
      <c r="E11" s="18">
        <f>-E6*Assumptions!B10</f>
        <v>-4595710164.306417</v>
      </c>
      <c r="F11" s="18">
        <f>-F6*Assumptions!B10</f>
        <v>-4518342037.047179</v>
      </c>
    </row>
    <row r="12" spans="1:6" x14ac:dyDescent="0.25">
      <c r="A12" t="s">
        <v>48</v>
      </c>
      <c r="B12" s="18">
        <f>-(B6-Assumptions!B29)*Assumptions!B11</f>
        <v>-330872295.8560524</v>
      </c>
      <c r="C12" s="18">
        <f>-(C6-B6)*Assumptions!B11</f>
        <v>-325302107.7943306</v>
      </c>
      <c r="D12" s="18">
        <f>-(D6-C6)*Assumptions!B11</f>
        <v>-319825693.056736</v>
      </c>
      <c r="E12" s="18">
        <f>-(E6-D6)*Assumptions!B11</f>
        <v>-314441472.9826813</v>
      </c>
      <c r="F12" s="18">
        <f>-(F6-E6)*Assumptions!B11</f>
        <v>-309147895.48812103</v>
      </c>
    </row>
    <row r="13" spans="1:6" x14ac:dyDescent="0.25">
      <c r="A13" s="19" t="s">
        <v>49</v>
      </c>
      <c r="B13" s="20">
        <f>B9+B10+B11+B12</f>
        <v>1858956820.861744</v>
      </c>
      <c r="C13" s="20">
        <f>C9+C10+C11+C12</f>
        <v>1827661547.0642595</v>
      </c>
      <c r="D13" s="20">
        <f>D9+D10+D11+D12</f>
        <v>1796893124.7520065</v>
      </c>
      <c r="E13" s="20">
        <f>E9+E10+E11+E12</f>
        <v>1766642684.45514</v>
      </c>
      <c r="F13" s="20">
        <f>F9+F10+F11+F12</f>
        <v>1736901506.0200624</v>
      </c>
    </row>
    <row r="14" spans="1:6" x14ac:dyDescent="0.25">
      <c r="A14" t="s">
        <v>50</v>
      </c>
      <c r="B14" s="21">
        <f>1/(1+Assumptions!$B$26)^(1-0.5*Assumptions!$B$32)</f>
        <v>0.9722384021907311</v>
      </c>
      <c r="C14" s="21">
        <f>1/(1+Assumptions!$B$26)^(2-0.5*Assumptions!$B$32)</f>
        <v>0.9190059294722759</v>
      </c>
      <c r="D14" s="21">
        <f>1/(1+Assumptions!$B$26)^(3-0.5*Assumptions!$B$32)</f>
        <v>0.8686880671470492</v>
      </c>
      <c r="E14" s="21">
        <f>1/(1+Assumptions!$B$26)^(4-0.5*Assumptions!$B$32)</f>
        <v>0.8211252330406658</v>
      </c>
      <c r="F14" s="21">
        <f>1/(1+Assumptions!$B$26)^(5-0.5*Assumptions!$B$32)</f>
        <v>0.776166582500037</v>
      </c>
    </row>
    <row r="15" spans="1:6" x14ac:dyDescent="0.25">
      <c r="A15" s="19" t="s">
        <v>51</v>
      </c>
      <c r="B15" s="20">
        <f>B13*B14</f>
        <v>1807349209.2561831</v>
      </c>
      <c r="C15" s="20">
        <f>C13*C14</f>
        <v>1679631798.8205276</v>
      </c>
      <c r="D15" s="20">
        <f>D13*D14</f>
        <v>1560939615.4106421</v>
      </c>
      <c r="E15" s="20">
        <f>E13*E14</f>
        <v>1450634885.9728143</v>
      </c>
      <c r="F15" s="20">
        <f>F13*F14</f>
        <v>1348124906.0667593</v>
      </c>
    </row>
    <row r="17" spans="1:2" x14ac:dyDescent="0.25">
      <c r="A17" s="22" t="s">
        <v>52</v>
      </c>
      <c r="B17" s="23">
        <f>SUM(B15:F15)</f>
        <v>7846680415.526926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1736901506.0200624</v>
      </c>
    </row>
    <row r="5" spans="1:2" x14ac:dyDescent="0.25">
      <c r="A5" t="s">
        <v>56</v>
      </c>
      <c r="B5" s="18">
        <f>IF(Assumptions!$B$33=0,B4,B4-Forecast!F11-Forecast!F10-Forecast!F12)</f>
        <v>3123938360.427639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0.30208224651352356</v>
      </c>
    </row>
    <row r="7" spans="1:2" x14ac:dyDescent="0.25">
      <c r="A7" t="s">
        <v>58</v>
      </c>
      <c r="B7" s="18">
        <f>-MAX(Forecast!F9,0)*B6</f>
        <v>-943686317.8877547</v>
      </c>
    </row>
    <row r="8" spans="1:2" x14ac:dyDescent="0.25">
      <c r="A8" t="s">
        <v>59</v>
      </c>
      <c r="B8" s="18">
        <f>IF(OR(Assumptions!$B$33=0,Assumptions!B12&lt;=0),B5,MAX(B5+B7,0))</f>
        <v>2180252042.5398846</v>
      </c>
    </row>
    <row r="9" spans="1:2" x14ac:dyDescent="0.25">
      <c r="A9" t="s">
        <v>60</v>
      </c>
      <c r="B9" s="18">
        <f>B8*(1+Assumptions!B12)/(Assumptions!B26-Assumptions!B12)</f>
        <v>67876330901.45771</v>
      </c>
    </row>
    <row r="10" spans="1:2" x14ac:dyDescent="0.25">
      <c r="A10" t="s">
        <v>61</v>
      </c>
      <c r="B10" s="18">
        <f>B9/(1+Assumptions!B26)^(5-0.5*Assumptions!B32)</f>
        <v>52683339788.42609</v>
      </c>
    </row>
    <row r="11" spans="1:2" x14ac:dyDescent="0.25">
      <c r="A11" t="s">
        <v>62</v>
      </c>
      <c r="B11" s="18">
        <f>Forecast!B17+B10</f>
        <v>60530020203.95301</v>
      </c>
    </row>
    <row r="12" spans="1:2" x14ac:dyDescent="0.25">
      <c r="A12" t="s">
        <v>63</v>
      </c>
      <c r="B12" s="18">
        <f>-Assumptions!B30</f>
        <v>-21002000000</v>
      </c>
    </row>
    <row r="13" spans="1:2" x14ac:dyDescent="0.25">
      <c r="A13" t="s">
        <v>64</v>
      </c>
      <c r="B13" s="18">
        <f>B11+B12</f>
        <v>39528020203.95301</v>
      </c>
    </row>
    <row r="14" spans="1:2" x14ac:dyDescent="0.25">
      <c r="A14" s="19" t="s">
        <v>65</v>
      </c>
      <c r="B14" s="24">
        <f>B13/Assumptions!B31</f>
        <v>4.011522180635166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7329224709.352643</v>
      </c>
    </row>
    <row r="18" spans="1:2" x14ac:dyDescent="0.25">
      <c r="A18" t="s">
        <v>60</v>
      </c>
      <c r="B18" s="18">
        <f>B17*Assumptions!B13</f>
        <v>35316349857.742836</v>
      </c>
    </row>
    <row r="19" spans="1:2" x14ac:dyDescent="0.25">
      <c r="A19" t="s">
        <v>61</v>
      </c>
      <c r="B19" s="18">
        <f>B18/(1+Assumptions!B26)^(5-0.5*Assumptions!B32)</f>
        <v>27411370575.459927</v>
      </c>
    </row>
    <row r="20" spans="1:2" x14ac:dyDescent="0.25">
      <c r="A20" t="s">
        <v>62</v>
      </c>
      <c r="B20" s="18">
        <f>Forecast!B17+B19</f>
        <v>35258050990.986855</v>
      </c>
    </row>
    <row r="21" spans="1:2" x14ac:dyDescent="0.25">
      <c r="A21" t="s">
        <v>63</v>
      </c>
      <c r="B21" s="18">
        <f>-Assumptions!B30</f>
        <v>-21002000000</v>
      </c>
    </row>
    <row r="22" spans="1:2" x14ac:dyDescent="0.25">
      <c r="A22" t="s">
        <v>64</v>
      </c>
      <c r="B22" s="18">
        <f>B20+B21</f>
        <v>14256050990.986855</v>
      </c>
    </row>
    <row r="23" spans="1:2" x14ac:dyDescent="0.25">
      <c r="A23" s="19" t="s">
        <v>65</v>
      </c>
      <c r="B23" s="25">
        <f>B22/Assumptions!B31</f>
        <v>1.4467829267323273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196.85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401.15221806351656</v>
      </c>
    </row>
    <row r="29" spans="1:2" x14ac:dyDescent="0.25">
      <c r="A29" s="19" t="s">
        <v>73</v>
      </c>
      <c r="B29" s="12">
        <f>B28/B26-1</f>
        <v>1.0378573434773513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0.037924</v>
      </c>
      <c r="B5" s="31">
        <v>8.422323269125231</v>
      </c>
      <c r="C5" s="31">
        <v>10.273258556410306</v>
      </c>
      <c r="D5" s="31">
        <v>13.54382802883831</v>
      </c>
      <c r="E5" s="31">
        <v>20.92137555025881</v>
      </c>
      <c r="F5" s="31">
        <v>53.47452996297266</v>
      </c>
    </row>
    <row r="6" spans="1:6" x14ac:dyDescent="0.25">
      <c r="A6" s="30">
        <v>0.047924</v>
      </c>
      <c r="B6" s="31">
        <v>5.165278507192871</v>
      </c>
      <c r="C6" s="31">
        <v>5.796867342538657</v>
      </c>
      <c r="D6" s="31">
        <v>6.697201993453941</v>
      </c>
      <c r="E6" s="31">
        <v>8.091186902783097</v>
      </c>
      <c r="F6" s="31">
        <v>10.551768052900625</v>
      </c>
    </row>
    <row r="7" spans="1:6" x14ac:dyDescent="0.25">
      <c r="A7" s="30">
        <v>0.057924</v>
      </c>
      <c r="B7" s="31">
        <v>3.4290047535638033</v>
      </c>
      <c r="C7" s="31">
        <v>3.6838208651695896</v>
      </c>
      <c r="D7" s="32">
        <v>4.0115167422307145</v>
      </c>
      <c r="E7" s="31">
        <v>4.451241377793671</v>
      </c>
      <c r="F7" s="31">
        <v>5.076299229087884</v>
      </c>
    </row>
    <row r="8" spans="1:6" x14ac:dyDescent="0.25">
      <c r="A8" s="30">
        <v>0.067924</v>
      </c>
      <c r="B8" s="31">
        <v>2.3512898366557637</v>
      </c>
      <c r="C8" s="31">
        <v>2.454552639798594</v>
      </c>
      <c r="D8" s="31">
        <v>2.5785526293637315</v>
      </c>
      <c r="E8" s="31">
        <v>2.7314919411051757</v>
      </c>
      <c r="F8" s="31">
        <v>2.9265551769134803</v>
      </c>
    </row>
    <row r="9" spans="1:6" x14ac:dyDescent="0.25">
      <c r="A9" s="30">
        <v>0.077924</v>
      </c>
      <c r="B9" s="31">
        <v>1.6180285969148642</v>
      </c>
      <c r="C9" s="31">
        <v>1.6512334563724935</v>
      </c>
      <c r="D9" s="31">
        <v>1.6881303432470953</v>
      </c>
      <c r="E9" s="31">
        <v>1.7298748457878723</v>
      </c>
      <c r="F9" s="31">
        <v>1.7781609868024013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19654000000</v>
      </c>
      <c r="C5" s="18">
        <v>20358000000</v>
      </c>
      <c r="D5" s="18">
        <v>20797000000</v>
      </c>
      <c r="E5" s="18">
        <v>20681000000</v>
      </c>
      <c r="F5" s="8" t="s">
        <v>84</v>
      </c>
    </row>
    <row r="6" spans="1:6" x14ac:dyDescent="0.25">
      <c r="A6" t="s">
        <v>44</v>
      </c>
      <c r="B6" s="18">
        <v>3531000000</v>
      </c>
      <c r="C6" s="18">
        <v>3485000000</v>
      </c>
      <c r="D6" s="18">
        <v>3435000000</v>
      </c>
      <c r="E6" s="18">
        <v>3346000000</v>
      </c>
      <c r="F6" s="8" t="s">
        <v>85</v>
      </c>
    </row>
    <row r="7" spans="1:6" x14ac:dyDescent="0.25">
      <c r="A7" t="s">
        <v>86</v>
      </c>
      <c r="B7" s="18">
        <v>4853000000</v>
      </c>
      <c r="C7" s="18">
        <v>4883000000</v>
      </c>
      <c r="D7" s="18">
        <v>4792000000</v>
      </c>
      <c r="E7" s="18">
        <v>4732000000</v>
      </c>
      <c r="F7" s="8" t="s">
        <v>87</v>
      </c>
    </row>
    <row r="8" spans="1:6" x14ac:dyDescent="0.25">
      <c r="A8" t="s">
        <v>88</v>
      </c>
      <c r="B8" s="18">
        <v>5169000000</v>
      </c>
      <c r="C8" s="18">
        <v>4937000000</v>
      </c>
      <c r="D8" s="18">
        <v>4969000000</v>
      </c>
      <c r="E8" s="18">
        <v>5307000000</v>
      </c>
      <c r="F8" s="8" t="s">
        <v>89</v>
      </c>
    </row>
    <row r="9" spans="1:6" x14ac:dyDescent="0.25">
      <c r="A9" t="s">
        <v>90</v>
      </c>
      <c r="B9" s="18">
        <v>717000000</v>
      </c>
      <c r="C9" s="18">
        <v>730000000</v>
      </c>
      <c r="D9" s="18">
        <v>1664000000</v>
      </c>
      <c r="E9" s="18">
        <v>1097000000</v>
      </c>
      <c r="F9" s="8" t="s">
        <v>91</v>
      </c>
    </row>
    <row r="10" spans="1:6" x14ac:dyDescent="0.25">
      <c r="A10" t="s">
        <v>92</v>
      </c>
      <c r="B10" s="18">
        <v>22720000000</v>
      </c>
      <c r="C10" s="18">
        <v>23333000000</v>
      </c>
      <c r="D10" s="18">
        <v>23481000000</v>
      </c>
      <c r="E10" s="18">
        <v>23880000000</v>
      </c>
      <c r="F10" s="8" t="s">
        <v>93</v>
      </c>
    </row>
    <row r="11" spans="1:6" x14ac:dyDescent="0.25">
      <c r="A11" t="s">
        <v>94</v>
      </c>
      <c r="B11" s="18">
        <v>1718000000</v>
      </c>
      <c r="C11" s="18">
        <v>2814000000</v>
      </c>
      <c r="D11" s="18">
        <v>2709000000</v>
      </c>
      <c r="E11" s="18">
        <v>3809000000</v>
      </c>
      <c r="F11" s="8" t="s">
        <v>95</v>
      </c>
    </row>
    <row r="12" spans="1:6" x14ac:dyDescent="0.25">
      <c r="A12" t="s">
        <v>32</v>
      </c>
      <c r="B12" s="34">
        <v>9853621250</v>
      </c>
      <c r="C12" s="34">
        <v>9943396226</v>
      </c>
      <c r="D12" s="34">
        <v>9998000000</v>
      </c>
      <c r="E12" s="34">
        <v>10079365079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