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<sst xmlns="http://schemas.openxmlformats.org/spreadsheetml/2006/main" count="114" uniqueCount="102">
  <si>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Barratt Redrow plc (BTRW.L)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</si>
  <si>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</si>
  <si>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</si>
  <si>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</si>
  <si>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</si>
  <si>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</si>
  <si>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</si>
  <si>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</si>
  <si>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</si>
  <si>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</si>
  <si>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</si>
  <si>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</si>
  <si>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</si>
  <si>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</si>
  <si>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</si>
  <si>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</si>
  <si>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</si>
  <si>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</si>
  <si>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</si>
  <si>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</si>
  <si>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</si>
  <si>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</si>
  <si>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25.5% is not a credible funding cost, so risk-free + 2bp is assumed instead. Interest expense and reported debt are measuring different things - common for banks, whose interest expense includes deposits that total debt excludes.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</si>
  <si>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</si>
  <si>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</si>
  <si>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</si>
  <si>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</si>
  <si>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</si>
  <si>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</si>
  <si>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</si>
  <si>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2025-06-30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</si>
  <si>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</si>
  <si>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</si>
  <si>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</si>
  <si>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</si>
  <si>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</si>
  <si>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</si>
  <si>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</si>
  <si>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</si>
  <si>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</si>
  <si>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</si>
  <si>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</si>
  <si>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</si>
  <si>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</si>
  <si>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</si>
  <si>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</si>
  <si>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</si>
  <si>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</si>
  <si>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</si>
  <si>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</si>
  <si>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</si>
  <si>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</si>
  <si>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</si>
  <si>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</si>
  <si>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</si>
  <si>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</si>
  <si>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</si>
  <si>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</si>
  <si>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</si>
  <si>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</si>
  <si>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</si>
  <si>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</si>
  <si>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</si>
  <si>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</si>
  <si>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</si>
  <si>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</si>
  <si>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</si>
  <si>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</si>
  <si>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</si>
  <si>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</si>
  <si>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</si>
  <si>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</si>
  <si>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</si>
  <si>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</si>
  <si>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</si>
  <si>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</si>
  <si>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</si>
  <si>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</si>
  <si>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</si>
  <si>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</si>
  <si>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</si>
  <si>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</si>
  <si>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</si>
  <si>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</si>
  <si>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</si>
  <si>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</si>
  <si>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</si>
  <si>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</si>
  <si>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</si>
  <si>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</si>
  <si>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</si>
  <si>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</si>
  <si>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</si>
  <si>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</si>
  <si>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</si>
  <si>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</si>
  <si>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</si>
  <si>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</si>
  <si>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0.39%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</si>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</sst>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0.01926735497199905</v>
      </c>
    </row>
    <row r="7" spans="1:2" x14ac:dyDescent="0.25">
      <c r="A7" t="s">
        <v>5</v>
      </c>
      <c r="B7" s="6">
        <v>0.08719284836529524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0.0063360522322694355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0.09701439614211758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10.706738668295662</v>
      </c>
    </row>
    <row r="14" spans="1:3" x14ac:dyDescent="0.25">
      <c r="A14" t="s">
        <v>12</v>
      </c>
      <c r="B14" s="6">
        <v>0.10989951119186817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1.24723</v>
      </c>
      <c r="C19" s="8" t="s">
        <v>19</v>
      </c>
    </row>
    <row r="20" spans="1:2" x14ac:dyDescent="0.25">
      <c r="A20" t="s">
        <v>20</v>
      </c>
      <c r="B20" s="10">
        <f>B17+B19*B18</f>
        <v>0.11359765000000001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4219786240</v>
      </c>
    </row>
    <row r="23" spans="1:2" x14ac:dyDescent="0.25">
      <c r="A23" t="s">
        <v>24</v>
      </c>
      <c r="B23" s="11">
        <v>255200000</v>
      </c>
    </row>
    <row r="24" spans="1:2" x14ac:dyDescent="0.25">
      <c r="A24" t="s">
        <v>25</v>
      </c>
      <c r="B24" s="10">
        <f>B22/(B22+B23)</f>
        <v>0.9429718916856379</v>
      </c>
    </row>
    <row r="25" spans="1:2" x14ac:dyDescent="0.25">
      <c r="A25" t="s">
        <v>26</v>
      </c>
      <c r="B25" s="10">
        <f>1-B24</f>
        <v>0.057028108314362114</v>
      </c>
    </row>
    <row r="26" spans="1:2" x14ac:dyDescent="0.25">
      <c r="A26" t="s">
        <v>27</v>
      </c>
      <c r="B26" s="12">
        <f>B24*B20+B25*B21*(1-B8)</f>
        <v>0.10989951119186817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5578300000</v>
      </c>
      <c r="C29" s="8" t="s">
        <v>30</v>
      </c>
    </row>
    <row r="30" spans="1:2" x14ac:dyDescent="0.25">
      <c r="A30" t="s">
        <v>31</v>
      </c>
      <c r="B30" s="11">
        <v>-714400000</v>
      </c>
    </row>
    <row r="31" spans="1:2" x14ac:dyDescent="0.25">
      <c r="A31" t="s">
        <v>32</v>
      </c>
      <c r="B31" s="13">
        <v>1398200000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0.01926735497199905</v>
      </c>
      <c r="C5" s="10">
        <f>Assumptions!B6</f>
        <v>0.01926735497199905</v>
      </c>
      <c r="D5" s="10">
        <f>Assumptions!B6</f>
        <v>0.01926735497199905</v>
      </c>
      <c r="E5" s="10">
        <f>Assumptions!B6</f>
        <v>0.01926735497199905</v>
      </c>
      <c r="F5" s="10">
        <f>Assumptions!B6</f>
        <v>0.01926735497199905</v>
      </c>
    </row>
    <row r="6" spans="1:6" x14ac:dyDescent="0.25">
      <c r="A6" t="s">
        <v>43</v>
      </c>
      <c r="B6" s="18">
        <f>Assumptions!B29*(1+B5)</f>
        <v>5685779086.240302</v>
      </c>
      <c r="C6" s="18">
        <f>B6*(1+C5)</f>
        <v>5795329010.187263</v>
      </c>
      <c r="D6" s="18">
        <f>C6*(1+D5)</f>
        <v>5906989671.406064</v>
      </c>
      <c r="E6" s="18">
        <f>D6*(1+E5)</f>
        <v>6020801738.220977</v>
      </c>
      <c r="F6" s="18">
        <f>E6*(1+F5)</f>
        <v>6136806662.527309</v>
      </c>
    </row>
    <row r="7" spans="1:6" x14ac:dyDescent="0.25">
      <c r="A7" t="s">
        <v>5</v>
      </c>
      <c r="B7" s="10">
        <f>Assumptions!B7</f>
        <v>0.08719284836529524</v>
      </c>
      <c r="C7" s="10">
        <f>Assumptions!B7</f>
        <v>0.08719284836529524</v>
      </c>
      <c r="D7" s="10">
        <f>Assumptions!B7</f>
        <v>0.08719284836529524</v>
      </c>
      <c r="E7" s="10">
        <f>Assumptions!B7</f>
        <v>0.08719284836529524</v>
      </c>
      <c r="F7" s="10">
        <f>Assumptions!B7</f>
        <v>0.08719284836529524</v>
      </c>
    </row>
    <row r="8" spans="1:6" x14ac:dyDescent="0.25">
      <c r="A8" t="s">
        <v>44</v>
      </c>
      <c r="B8" s="18">
        <f>B6*B7</f>
        <v>495759273.7051176</v>
      </c>
      <c r="C8" s="18">
        <f>C6*C7</f>
        <v>505311243.61225456</v>
      </c>
      <c r="D8" s="18">
        <f>D6*D7</f>
        <v>515047254.7142741</v>
      </c>
      <c r="E8" s="18">
        <f>E6*E7</f>
        <v>524970852.9982076</v>
      </c>
      <c r="F8" s="18">
        <f>F6*F7</f>
        <v>535085652.7728773</v>
      </c>
    </row>
    <row r="9" spans="1:6" x14ac:dyDescent="0.25">
      <c r="A9" t="s">
        <v>45</v>
      </c>
      <c r="B9" s="18">
        <f>B8*(1-Assumptions!B8)</f>
        <v>371819455.27883816</v>
      </c>
      <c r="C9" s="18">
        <f>C8*(1-Assumptions!B8)</f>
        <v>378983432.7091909</v>
      </c>
      <c r="D9" s="18">
        <f>D8*(1-Assumptions!B8)</f>
        <v>386285441.03570557</v>
      </c>
      <c r="E9" s="18">
        <f>E8*(1-Assumptions!B8)</f>
        <v>393728139.74865574</v>
      </c>
      <c r="F9" s="18">
        <f>F8*(1-Assumptions!B8)</f>
        <v>401314239.579658</v>
      </c>
    </row>
    <row r="10" spans="1:6" x14ac:dyDescent="0.25">
      <c r="A10" t="s">
        <v>46</v>
      </c>
      <c r="B10" s="18">
        <f>B6*Assumptions!B9</f>
        <v>36025393.27156374</v>
      </c>
      <c r="C10" s="18">
        <f>C6*Assumptions!B9</f>
        <v>36719507.31173282</v>
      </c>
      <c r="D10" s="18">
        <f>D6*Assumptions!B9</f>
        <v>37426995.09350489</v>
      </c>
      <c r="E10" s="18">
        <f>E6*Assumptions!B9</f>
        <v>38148114.29350672</v>
      </c>
      <c r="F10" s="18">
        <f>F6*Assumptions!B9</f>
        <v>38883127.553112105</v>
      </c>
    </row>
    <row r="11" spans="1:6" x14ac:dyDescent="0.25">
      <c r="A11" t="s">
        <v>47</v>
      </c>
      <c r="B11" s="18">
        <f>-B6*Assumptions!B10</f>
        <v>-56857790.86240302</v>
      </c>
      <c r="C11" s="18">
        <f>-C6*Assumptions!B10</f>
        <v>-57953290.10187262</v>
      </c>
      <c r="D11" s="18">
        <f>-D6*Assumptions!B10</f>
        <v>-59069896.71406064</v>
      </c>
      <c r="E11" s="18">
        <f>-E6*Assumptions!B10</f>
        <v>-60208017.38220977</v>
      </c>
      <c r="F11" s="18">
        <f>-F6*Assumptions!B10</f>
        <v>-61368066.62527309</v>
      </c>
    </row>
    <row r="12" spans="1:6" x14ac:dyDescent="0.25">
      <c r="A12" t="s">
        <v>48</v>
      </c>
      <c r="B12" s="18">
        <f>-(B6-Assumptions!B29)*Assumptions!B11</f>
        <v>-10427018.649509486</v>
      </c>
      <c r="C12" s="18">
        <f>-(C6-B6)*Assumptions!B11</f>
        <v>-10627919.719129274</v>
      </c>
      <c r="D12" s="18">
        <f>-(D6-C6)*Assumptions!B11</f>
        <v>-10832691.620971594</v>
      </c>
      <c r="E12" s="18">
        <f>-(E6-D6)*Assumptions!B11</f>
        <v>-11041408.935735105</v>
      </c>
      <c r="F12" s="18">
        <f>-(F6-E6)*Assumptions!B11</f>
        <v>-11254147.681090914</v>
      </c>
    </row>
    <row r="13" spans="1:6" x14ac:dyDescent="0.25">
      <c r="A13" s="19" t="s">
        <v>49</v>
      </c>
      <c r="B13" s="20">
        <f>B9+B10+B11+B12</f>
        <v>340560039.0384894</v>
      </c>
      <c r="C13" s="20">
        <f>C9+C10+C11+C12</f>
        <v>347121730.19992185</v>
      </c>
      <c r="D13" s="20">
        <f>D9+D10+D11+D12</f>
        <v>353809847.7941782</v>
      </c>
      <c r="E13" s="20">
        <f>E9+E10+E11+E12</f>
        <v>360626827.7242176</v>
      </c>
      <c r="F13" s="20">
        <f>F9+F10+F11+F12</f>
        <v>367575152.82640606</v>
      </c>
    </row>
    <row r="14" spans="1:6" x14ac:dyDescent="0.25">
      <c r="A14" t="s">
        <v>50</v>
      </c>
      <c r="B14" s="21">
        <f>1/(1+Assumptions!$B$26)^(1-0.5*Assumptions!$B$32)</f>
        <v>0.9492009625238009</v>
      </c>
      <c r="C14" s="21">
        <f>1/(1+Assumptions!$B$26)^(2-0.5*Assumptions!$B$32)</f>
        <v>0.8552134251365686</v>
      </c>
      <c r="D14" s="21">
        <f>1/(1+Assumptions!$B$26)^(3-0.5*Assumptions!$B$32)</f>
        <v>0.7705323018100944</v>
      </c>
      <c r="E14" s="21">
        <f>1/(1+Assumptions!$B$26)^(4-0.5*Assumptions!$B$32)</f>
        <v>0.6942360943853885</v>
      </c>
      <c r="F14" s="21">
        <f>1/(1+Assumptions!$B$26)^(5-0.5*Assumptions!$B$32)</f>
        <v>0.6254945491775931</v>
      </c>
    </row>
    <row r="15" spans="1:6" x14ac:dyDescent="0.25">
      <c r="A15" s="19" t="s">
        <v>51</v>
      </c>
      <c r="B15" s="20">
        <f>B13*B14</f>
        <v>323259916.8524774</v>
      </c>
      <c r="C15" s="20">
        <f>C13*C14</f>
        <v>296863163.823607</v>
      </c>
      <c r="D15" s="20">
        <f>D13*D14</f>
        <v>272621916.42392725</v>
      </c>
      <c r="E15" s="20">
        <f>E13*E14</f>
        <v>250360160.40985316</v>
      </c>
      <c r="F15" s="20">
        <f>F13*F14</f>
        <v>229916254.50603774</v>
      </c>
    </row>
    <row r="17" spans="1:2" x14ac:dyDescent="0.25">
      <c r="A17" s="22" t="s">
        <v>52</v>
      </c>
      <c r="B17" s="23">
        <f>SUM(B15:F15)</f>
        <v>1373021412.0159025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367575152.82640606</v>
      </c>
    </row>
    <row r="5" spans="1:2" x14ac:dyDescent="0.25">
      <c r="A5" t="s">
        <v>56</v>
      </c>
      <c r="B5" s="18">
        <f>IF(Assumptions!$B$33=0,B4,B4-Forecast!F11-Forecast!F10-Forecast!F12)</f>
        <v>410385823.9140542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0.22748053861999193</v>
      </c>
    </row>
    <row r="7" spans="1:2" x14ac:dyDescent="0.25">
      <c r="A7" t="s">
        <v>58</v>
      </c>
      <c r="B7" s="18">
        <f>-MAX(Forecast!F9,0)*B6</f>
        <v>-93354788.26597822</v>
      </c>
    </row>
    <row r="8" spans="1:2" x14ac:dyDescent="0.25">
      <c r="A8" t="s">
        <v>59</v>
      </c>
      <c r="B8" s="18">
        <f>IF(OR(Assumptions!$B$33=0,Assumptions!B12&lt;=0),B5,MAX(B5+B7,0))</f>
        <v>317031035.648076</v>
      </c>
    </row>
    <row r="9" spans="1:2" x14ac:dyDescent="0.25">
      <c r="A9" t="s">
        <v>60</v>
      </c>
      <c r="B9" s="18">
        <f>B8*(1+Assumptions!B12)/(Assumptions!B26-Assumptions!B12)</f>
        <v>3827546318.9051056</v>
      </c>
    </row>
    <row r="10" spans="1:2" x14ac:dyDescent="0.25">
      <c r="A10" t="s">
        <v>61</v>
      </c>
      <c r="B10" s="18">
        <f>B9/(1+Assumptions!B26)^(5-0.5*Assumptions!B32)</f>
        <v>2394109359.199905</v>
      </c>
    </row>
    <row r="11" spans="1:2" x14ac:dyDescent="0.25">
      <c r="A11" t="s">
        <v>62</v>
      </c>
      <c r="B11" s="18">
        <f>Forecast!B17+B10</f>
        <v>3767130771.2158074</v>
      </c>
    </row>
    <row r="12" spans="1:2" x14ac:dyDescent="0.25">
      <c r="A12" t="s">
        <v>63</v>
      </c>
      <c r="B12" s="18">
        <f>-Assumptions!B30</f>
        <v>714399999.9999995</v>
      </c>
    </row>
    <row r="13" spans="1:2" x14ac:dyDescent="0.25">
      <c r="A13" t="s">
        <v>64</v>
      </c>
      <c r="B13" s="18">
        <f>B11+B12</f>
        <v>4481530771.215807</v>
      </c>
    </row>
    <row r="14" spans="1:2" x14ac:dyDescent="0.25">
      <c r="A14" s="19" t="s">
        <v>65</v>
      </c>
      <c r="B14" s="24">
        <f>B13/Assumptions!B31</f>
        <v>3.205214397951514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573968780.3259894</v>
      </c>
    </row>
    <row r="18" spans="1:2" x14ac:dyDescent="0.25">
      <c r="A18" t="s">
        <v>60</v>
      </c>
      <c r="B18" s="18">
        <f>B17*Assumptions!B13</f>
        <v>6145333734.710769</v>
      </c>
    </row>
    <row r="19" spans="1:2" x14ac:dyDescent="0.25">
      <c r="A19" t="s">
        <v>61</v>
      </c>
      <c r="B19" s="18">
        <f>B18/(1+Assumptions!B26)^(5-0.5*Assumptions!B32)</f>
        <v>3843872753.9387665</v>
      </c>
    </row>
    <row r="20" spans="1:2" x14ac:dyDescent="0.25">
      <c r="A20" t="s">
        <v>62</v>
      </c>
      <c r="B20" s="18">
        <f>Forecast!B17+B19</f>
        <v>5216894165.954669</v>
      </c>
    </row>
    <row r="21" spans="1:2" x14ac:dyDescent="0.25">
      <c r="A21" t="s">
        <v>63</v>
      </c>
      <c r="B21" s="18">
        <f>-Assumptions!B30</f>
        <v>714400000</v>
      </c>
    </row>
    <row r="22" spans="1:2" x14ac:dyDescent="0.25">
      <c r="A22" t="s">
        <v>64</v>
      </c>
      <c r="B22" s="18">
        <f>B20+B21</f>
        <v>5931294165.954669</v>
      </c>
    </row>
    <row r="23" spans="1:2" x14ac:dyDescent="0.25">
      <c r="A23" s="19" t="s">
        <v>65</v>
      </c>
      <c r="B23" s="25">
        <f>B22/Assumptions!B31</f>
        <v>4.2420928092938555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305.7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320.5214397951514</v>
      </c>
    </row>
    <row r="29" spans="1:2" x14ac:dyDescent="0.25">
      <c r="A29" s="19" t="s">
        <v>73</v>
      </c>
      <c r="B29" s="12">
        <f>B28/B26-1</f>
        <v>0.048483610713612846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0.0899</v>
      </c>
      <c r="B5" s="31">
        <v>3.785290431467005</v>
      </c>
      <c r="C5" s="31">
        <v>3.796371800768956</v>
      </c>
      <c r="D5" s="31">
        <v>3.807453170070907</v>
      </c>
      <c r="E5" s="31">
        <v>3.818534539372858</v>
      </c>
      <c r="F5" s="31">
        <v>3.8296159086748083</v>
      </c>
    </row>
    <row r="6" spans="1:6" x14ac:dyDescent="0.25">
      <c r="A6" s="30">
        <v>0.0999</v>
      </c>
      <c r="B6" s="31">
        <v>3.456772127524991</v>
      </c>
      <c r="C6" s="31">
        <v>3.4663427053574543</v>
      </c>
      <c r="D6" s="31">
        <v>3.4759132831899175</v>
      </c>
      <c r="E6" s="31">
        <v>3.4854838610223817</v>
      </c>
      <c r="F6" s="31">
        <v>3.495054438854845</v>
      </c>
    </row>
    <row r="7" spans="1:6" x14ac:dyDescent="0.25">
      <c r="A7" s="30">
        <v>0.1099</v>
      </c>
      <c r="B7" s="31">
        <v>3.1884973213995096</v>
      </c>
      <c r="C7" s="31">
        <v>3.196849851188998</v>
      </c>
      <c r="D7" s="32">
        <v>3.205202380978485</v>
      </c>
      <c r="E7" s="31">
        <v>3.2135549107679737</v>
      </c>
      <c r="F7" s="31">
        <v>3.2219074405574606</v>
      </c>
    </row>
    <row r="8" spans="1:6" x14ac:dyDescent="0.25">
      <c r="A8" s="30">
        <v>0.1199</v>
      </c>
      <c r="B8" s="31">
        <v>2.965367729912767</v>
      </c>
      <c r="C8" s="31">
        <v>2.9727207757441714</v>
      </c>
      <c r="D8" s="31">
        <v>2.980073821575576</v>
      </c>
      <c r="E8" s="31">
        <v>2.9874268674069806</v>
      </c>
      <c r="F8" s="31">
        <v>2.994779913238385</v>
      </c>
    </row>
    <row r="9" spans="1:6" x14ac:dyDescent="0.25">
      <c r="A9" s="30">
        <v>0.1299</v>
      </c>
      <c r="B9" s="31">
        <v>2.776935755502144</v>
      </c>
      <c r="C9" s="31">
        <v>2.7834566003488077</v>
      </c>
      <c r="D9" s="31">
        <v>2.7899774451954706</v>
      </c>
      <c r="E9" s="31">
        <v>2.7964982900421345</v>
      </c>
      <c r="F9" s="31">
        <v>2.803019134888798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5578300000</v>
      </c>
      <c r="C5" s="18">
        <v>4168200000</v>
      </c>
      <c r="D5" s="18">
        <v>5321400000</v>
      </c>
      <c r="E5" s="18">
        <v>5267900000</v>
      </c>
      <c r="F5" s="8" t="s">
        <v>84</v>
      </c>
    </row>
    <row r="6" spans="1:6" x14ac:dyDescent="0.25">
      <c r="A6" t="s">
        <v>44</v>
      </c>
      <c r="B6" s="18">
        <v>285500000</v>
      </c>
      <c r="C6" s="18">
        <v>174700000</v>
      </c>
      <c r="D6" s="18">
        <v>707400000</v>
      </c>
      <c r="E6" s="18">
        <v>646600000</v>
      </c>
      <c r="F6" s="8" t="s">
        <v>85</v>
      </c>
    </row>
    <row r="7" spans="1:6" x14ac:dyDescent="0.25">
      <c r="A7" t="s">
        <v>86</v>
      </c>
      <c r="B7" s="18">
        <v>41900000</v>
      </c>
      <c r="C7" s="18">
        <v>33100000</v>
      </c>
      <c r="D7" s="18">
        <v>28900000</v>
      </c>
      <c r="E7" s="18">
        <v>23500000</v>
      </c>
      <c r="F7" s="8" t="s">
        <v>87</v>
      </c>
    </row>
    <row r="8" spans="1:6" x14ac:dyDescent="0.25">
      <c r="A8" t="s">
        <v>88</v>
      </c>
      <c r="B8" s="18">
        <v>20600000</v>
      </c>
      <c r="C8" s="18">
        <v>7200000</v>
      </c>
      <c r="D8" s="18">
        <v>23100000</v>
      </c>
      <c r="E8" s="18">
        <v>29900000</v>
      </c>
      <c r="F8" s="8" t="s">
        <v>89</v>
      </c>
    </row>
    <row r="9" spans="1:6" x14ac:dyDescent="0.25">
      <c r="A9" t="s">
        <v>90</v>
      </c>
      <c r="B9" s="18">
        <v>136800000</v>
      </c>
      <c r="C9" s="18">
        <v>12000000</v>
      </c>
      <c r="D9" s="18">
        <v>64900000</v>
      </c>
      <c r="E9" s="18">
        <v>118200000</v>
      </c>
      <c r="F9" s="8" t="s">
        <v>91</v>
      </c>
    </row>
    <row r="10" spans="1:6" x14ac:dyDescent="0.25">
      <c r="A10" t="s">
        <v>92</v>
      </c>
      <c r="B10" s="18">
        <v>255200000</v>
      </c>
      <c r="C10" s="18">
        <v>242800000</v>
      </c>
      <c r="D10" s="18">
        <v>249600000</v>
      </c>
      <c r="E10" s="18">
        <v>254400000</v>
      </c>
      <c r="F10" s="8" t="s">
        <v>93</v>
      </c>
    </row>
    <row r="11" spans="1:6" x14ac:dyDescent="0.25">
      <c r="A11" t="s">
        <v>94</v>
      </c>
      <c r="B11" s="18">
        <v>969600000</v>
      </c>
      <c r="C11" s="18">
        <v>1065300000</v>
      </c>
      <c r="D11" s="18">
        <v>1269100000</v>
      </c>
      <c r="E11" s="18">
        <v>1352700000</v>
      </c>
      <c r="F11" s="8" t="s">
        <v>95</v>
      </c>
    </row>
    <row r="12" spans="1:6" x14ac:dyDescent="0.25">
      <c r="A12" t="s">
        <v>32</v>
      </c>
      <c r="B12" s="34">
        <v>1398200000</v>
      </c>
      <c r="C12" s="34">
        <v>987100000</v>
      </c>
      <c r="D12" s="34">
        <v>1008500000</v>
      </c>
      <c r="E12" s="34">
        <v>1034300000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2026-09-19T00:08:16Z</dcterms:modified>
</cp:coreProperties>
</file>