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<sst xmlns="http://schemas.openxmlformats.org/spreadsheetml/2006/main" count="112" uniqueCount="100">
  <si>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Bureau Veritas SA (BVI.PA)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</si>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</sst>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0.04597828118571701</v>
      </c>
    </row>
    <row r="7" spans="1:2" x14ac:dyDescent="0.25">
      <c r="A7" t="s">
        <v>5</v>
      </c>
      <c r="B7" s="6">
        <v>0.14299912578707358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0.04850773010876672</v>
      </c>
    </row>
    <row r="10" spans="1:2" x14ac:dyDescent="0.25">
      <c r="A10" t="s">
        <v>8</v>
      </c>
      <c r="B10" s="6">
        <v>0.02399837151517989</v>
      </c>
    </row>
    <row r="11" spans="1:2" x14ac:dyDescent="0.25">
      <c r="A11" t="s">
        <v>9</v>
      </c>
      <c r="B11" s="6">
        <v>-0.08470066518847007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11.156726112098207</v>
      </c>
    </row>
    <row r="14" spans="1:3" x14ac:dyDescent="0.25">
      <c r="A14" t="s">
        <v>12</v>
      </c>
      <c r="B14" s="6">
        <v>0.1520970987952387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0.82312</v>
      </c>
      <c r="C19" s="8" t="s">
        <v>19</v>
      </c>
    </row>
    <row r="20" spans="1:2" x14ac:dyDescent="0.25">
      <c r="A20" t="s">
        <v>20</v>
      </c>
      <c r="B20" s="10">
        <f>B17+B19*B18</f>
        <v>0.08138719999999999</v>
      </c>
    </row>
    <row r="21" spans="1:3" x14ac:dyDescent="0.25">
      <c r="A21" t="s">
        <v>21</v>
      </c>
      <c r="B21" s="6">
        <v>0.03202094451716846</v>
      </c>
      <c r="C21" s="8" t="s">
        <v>22</v>
      </c>
    </row>
    <row r="22" spans="1:2" x14ac:dyDescent="0.25">
      <c r="A22" t="s">
        <v>23</v>
      </c>
      <c r="B22" s="11">
        <v>12104758272</v>
      </c>
    </row>
    <row r="23" spans="1:2" x14ac:dyDescent="0.25">
      <c r="A23" t="s">
        <v>24</v>
      </c>
      <c r="B23" s="11">
        <v>3085400000</v>
      </c>
    </row>
    <row r="24" spans="1:2" x14ac:dyDescent="0.25">
      <c r="A24" t="s">
        <v>25</v>
      </c>
      <c r="B24" s="10">
        <f>B22/(B22+B23)</f>
        <v>0.7968816423929358</v>
      </c>
    </row>
    <row r="25" spans="1:2" x14ac:dyDescent="0.25">
      <c r="A25" t="s">
        <v>26</v>
      </c>
      <c r="B25" s="10">
        <f>1-B24</f>
        <v>0.2031183576070642</v>
      </c>
    </row>
    <row r="26" spans="1:2" x14ac:dyDescent="0.25">
      <c r="A26" t="s">
        <v>27</v>
      </c>
      <c r="B26" s="12">
        <f>B24*B20+B25*B21*(1-B8)</f>
        <v>0.06968196451700315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6466400000</v>
      </c>
      <c r="C29" s="8" t="s">
        <v>30</v>
      </c>
    </row>
    <row r="30" spans="1:2" x14ac:dyDescent="0.25">
      <c r="A30" t="s">
        <v>31</v>
      </c>
      <c r="B30" s="11">
        <v>1709500000</v>
      </c>
    </row>
    <row r="31" spans="1:2" x14ac:dyDescent="0.25">
      <c r="A31" t="s">
        <v>32</v>
      </c>
      <c r="B31" s="13">
        <v>443652690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0.04597828118571701</v>
      </c>
      <c r="C5" s="10">
        <f>Assumptions!B6</f>
        <v>0.04597828118571701</v>
      </c>
      <c r="D5" s="10">
        <f>Assumptions!B6</f>
        <v>0.04597828118571701</v>
      </c>
      <c r="E5" s="10">
        <f>Assumptions!B6</f>
        <v>0.04597828118571701</v>
      </c>
      <c r="F5" s="10">
        <f>Assumptions!B6</f>
        <v>0.04597828118571701</v>
      </c>
    </row>
    <row r="6" spans="1:6" x14ac:dyDescent="0.25">
      <c r="A6" t="s">
        <v>43</v>
      </c>
      <c r="B6" s="18">
        <f>Assumptions!B29*(1+B5)</f>
        <v>6763713957.45932</v>
      </c>
      <c r="C6" s="18">
        <f>B6*(1+C5)</f>
        <v>7074697899.655144</v>
      </c>
      <c r="D6" s="18">
        <f>C6*(1+D5)</f>
        <v>7399980348.98949</v>
      </c>
      <c r="E6" s="18">
        <f>D6*(1+E5)</f>
        <v>7740218726.244108</v>
      </c>
      <c r="F6" s="18">
        <f>E6*(1+F5)</f>
        <v>8096100679.278312</v>
      </c>
    </row>
    <row r="7" spans="1:6" x14ac:dyDescent="0.25">
      <c r="A7" t="s">
        <v>5</v>
      </c>
      <c r="B7" s="10">
        <f>Assumptions!B7</f>
        <v>0.14299912578707358</v>
      </c>
      <c r="C7" s="10">
        <f>Assumptions!B7</f>
        <v>0.14299912578707358</v>
      </c>
      <c r="D7" s="10">
        <f>Assumptions!B7</f>
        <v>0.14299912578707358</v>
      </c>
      <c r="E7" s="10">
        <f>Assumptions!B7</f>
        <v>0.14299912578707358</v>
      </c>
      <c r="F7" s="10">
        <f>Assumptions!B7</f>
        <v>0.14299912578707358</v>
      </c>
    </row>
    <row r="8" spans="1:6" x14ac:dyDescent="0.25">
      <c r="A8" t="s">
        <v>44</v>
      </c>
      <c r="B8" s="18">
        <f>B6*B7</f>
        <v>967205182.9905106</v>
      </c>
      <c r="C8" s="18">
        <f>C6*C7</f>
        <v>1011675614.8583311</v>
      </c>
      <c r="D8" s="18">
        <f>D6*D7</f>
        <v>1058190720.7470206</v>
      </c>
      <c r="E8" s="18">
        <f>E6*E7</f>
        <v>1106844511.2536438</v>
      </c>
      <c r="F8" s="18">
        <f>F6*F7</f>
        <v>1157735319.420931</v>
      </c>
    </row>
    <row r="9" spans="1:6" x14ac:dyDescent="0.25">
      <c r="A9" t="s">
        <v>45</v>
      </c>
      <c r="B9" s="18">
        <f>B8*(1-Assumptions!B8)</f>
        <v>717666245.7789588</v>
      </c>
      <c r="C9" s="18">
        <f>C8*(1-Assumptions!B8)</f>
        <v>750663306.2248816</v>
      </c>
      <c r="D9" s="18">
        <f>D8*(1-Assumptions!B8)</f>
        <v>785177514.7942892</v>
      </c>
      <c r="E9" s="18">
        <f>E8*(1-Assumptions!B8)</f>
        <v>821278627.3502036</v>
      </c>
      <c r="F9" s="18">
        <f>F8*(1-Assumptions!B8)</f>
        <v>859039607.0103309</v>
      </c>
    </row>
    <row r="10" spans="1:6" x14ac:dyDescent="0.25">
      <c r="A10" t="s">
        <v>46</v>
      </c>
      <c r="B10" s="18">
        <f>B6*Assumptions!B9</f>
        <v>328092411.18133515</v>
      </c>
      <c r="C10" s="18">
        <f>C6*Assumptions!B9</f>
        <v>343177536.31753045</v>
      </c>
      <c r="D10" s="18">
        <f>D6*Assumptions!B9</f>
        <v>358956249.5789595</v>
      </c>
      <c r="E10" s="18">
        <f>E6*Assumptions!B9</f>
        <v>375460440.9554713</v>
      </c>
      <c r="F10" s="18">
        <f>F6*Assumptions!B9</f>
        <v>392723466.6838352</v>
      </c>
    </row>
    <row r="11" spans="1:6" x14ac:dyDescent="0.25">
      <c r="A11" t="s">
        <v>47</v>
      </c>
      <c r="B11" s="18">
        <f>-B6*Assumptions!B10</f>
        <v>-162318120.37351638</v>
      </c>
      <c r="C11" s="18">
        <f>-C6*Assumptions!B10</f>
        <v>-169781228.553587</v>
      </c>
      <c r="D11" s="18">
        <f>-D6*Assumptions!B10</f>
        <v>-177587477.6200803</v>
      </c>
      <c r="E11" s="18">
        <f>-E6*Assumptions!B10</f>
        <v>-185752644.60115856</v>
      </c>
      <c r="F11" s="18">
        <f>-F6*Assumptions!B10</f>
        <v>-194293231.92562118</v>
      </c>
    </row>
    <row r="12" spans="1:6" x14ac:dyDescent="0.25">
      <c r="A12" t="s">
        <v>48</v>
      </c>
      <c r="B12" s="18">
        <f>-(B6-Assumptions!B29)*Assumptions!B11</f>
        <v>25182689.966620903</v>
      </c>
      <c r="C12" s="18">
        <f>-(C6-B6)*Assumptions!B11</f>
        <v>26340546.76691899</v>
      </c>
      <c r="D12" s="18">
        <f>-(D6-C6)*Assumptions!B11</f>
        <v>27551639.832753904</v>
      </c>
      <c r="E12" s="18">
        <f>-(E6-D6)*Assumptions!B11</f>
        <v>28818416.876111824</v>
      </c>
      <c r="F12" s="18">
        <f>-(F6-E6)*Assumptions!B11</f>
        <v>30143438.150568902</v>
      </c>
    </row>
    <row r="13" spans="1:6" x14ac:dyDescent="0.25">
      <c r="A13" s="19" t="s">
        <v>49</v>
      </c>
      <c r="B13" s="20">
        <f>B9+B10+B11+B12</f>
        <v>908623226.5533986</v>
      </c>
      <c r="C13" s="20">
        <f>C9+C10+C11+C12</f>
        <v>950400160.7557441</v>
      </c>
      <c r="D13" s="20">
        <f>D9+D10+D11+D12</f>
        <v>994097926.5859225</v>
      </c>
      <c r="E13" s="20">
        <f>E9+E10+E11+E12</f>
        <v>1039804840.5806283</v>
      </c>
      <c r="F13" s="20">
        <f>F9+F10+F11+F12</f>
        <v>1087613279.9191139</v>
      </c>
    </row>
    <row r="14" spans="1:6" x14ac:dyDescent="0.25">
      <c r="A14" t="s">
        <v>50</v>
      </c>
      <c r="B14" s="21">
        <f>1/(1+Assumptions!$B$26)^(1-0.5*Assumptions!$B$32)</f>
        <v>0.9668801923456847</v>
      </c>
      <c r="C14" s="21">
        <f>1/(1+Assumptions!$B$26)^(2-0.5*Assumptions!$B$32)</f>
        <v>0.9038950121798707</v>
      </c>
      <c r="D14" s="21">
        <f>1/(1+Assumptions!$B$26)^(3-0.5*Assumptions!$B$32)</f>
        <v>0.8450128563100615</v>
      </c>
      <c r="E14" s="21">
        <f>1/(1+Assumptions!$B$26)^(4-0.5*Assumptions!$B$32)</f>
        <v>0.7899664426815055</v>
      </c>
      <c r="F14" s="21">
        <f>1/(1+Assumptions!$B$26)^(5-0.5*Assumptions!$B$32)</f>
        <v>0.7385059007124621</v>
      </c>
    </row>
    <row r="15" spans="1:6" x14ac:dyDescent="0.25">
      <c r="A15" s="19" t="s">
        <v>51</v>
      </c>
      <c r="B15" s="20">
        <f>B13*B14</f>
        <v>878529800.0597067</v>
      </c>
      <c r="C15" s="20">
        <f>C13*C14</f>
        <v>859061964.8820643</v>
      </c>
      <c r="D15" s="20">
        <f>D13*D14</f>
        <v>840025528.3962802</v>
      </c>
      <c r="E15" s="20">
        <f>E13*E14</f>
        <v>821410930.9964888</v>
      </c>
      <c r="F15" s="20">
        <f>F13*F14</f>
        <v>803208824.9135004</v>
      </c>
    </row>
    <row r="17" spans="1:2" x14ac:dyDescent="0.25">
      <c r="A17" s="22" t="s">
        <v>52</v>
      </c>
      <c r="B17" s="23">
        <f>SUM(B15:F15)</f>
        <v>4202237049.2480407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1087613279.9191139</v>
      </c>
    </row>
    <row r="5" spans="1:2" x14ac:dyDescent="0.25">
      <c r="A5" t="s">
        <v>56</v>
      </c>
      <c r="B5" s="18">
        <f>IF(Assumptions!$B$33=0,B4,B4-Forecast!F11-Forecast!F10-Forecast!F12)</f>
        <v>880436503.6520214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0.16436868420255896</v>
      </c>
    </row>
    <row r="7" spans="1:2" x14ac:dyDescent="0.25">
      <c r="A7" t="s">
        <v>58</v>
      </c>
      <c r="B7" s="18">
        <f>-MAX(Forecast!F9,0)*B6</f>
        <v>-144716189.62918425</v>
      </c>
    </row>
    <row r="8" spans="1:2" x14ac:dyDescent="0.25">
      <c r="A8" t="s">
        <v>59</v>
      </c>
      <c r="B8" s="18">
        <f>IF(OR(Assumptions!$B$33=0,Assumptions!B12&lt;=0),B5,MAX(B5+B7,0))</f>
        <v>735720314.0228372</v>
      </c>
    </row>
    <row r="9" spans="1:2" x14ac:dyDescent="0.25">
      <c r="A9" t="s">
        <v>60</v>
      </c>
      <c r="B9" s="18">
        <f>B8*(1+Assumptions!B12)/(Assumptions!B26-Assumptions!B12)</f>
        <v>16877353760.630644</v>
      </c>
    </row>
    <row r="10" spans="1:2" x14ac:dyDescent="0.25">
      <c r="A10" t="s">
        <v>61</v>
      </c>
      <c r="B10" s="18">
        <f>B9/(1+Assumptions!B26)^(5-0.5*Assumptions!B32)</f>
        <v>12464025340.637394</v>
      </c>
    </row>
    <row r="11" spans="1:2" x14ac:dyDescent="0.25">
      <c r="A11" t="s">
        <v>62</v>
      </c>
      <c r="B11" s="18">
        <f>Forecast!B17+B10</f>
        <v>16666262389.885435</v>
      </c>
    </row>
    <row r="12" spans="1:2" x14ac:dyDescent="0.25">
      <c r="A12" t="s">
        <v>63</v>
      </c>
      <c r="B12" s="18">
        <f>-Assumptions!B30</f>
        <v>-1709500000</v>
      </c>
    </row>
    <row r="13" spans="1:2" x14ac:dyDescent="0.25">
      <c r="A13" t="s">
        <v>64</v>
      </c>
      <c r="B13" s="18">
        <f>B11+B12</f>
        <v>14956762389.885435</v>
      </c>
    </row>
    <row r="14" spans="1:2" x14ac:dyDescent="0.25">
      <c r="A14" s="19" t="s">
        <v>65</v>
      </c>
      <c r="B14" s="24">
        <f>B13/Assumptions!B31</f>
        <v>33.71277291226485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1550458786.1047664</v>
      </c>
    </row>
    <row r="18" spans="1:2" x14ac:dyDescent="0.25">
      <c r="A18" t="s">
        <v>60</v>
      </c>
      <c r="B18" s="18">
        <f>B17*Assumptions!B13</f>
        <v>17298044024.667137</v>
      </c>
    </row>
    <row r="19" spans="1:2" x14ac:dyDescent="0.25">
      <c r="A19" t="s">
        <v>61</v>
      </c>
      <c r="B19" s="18">
        <f>B18/(1+Assumptions!B26)^(5-0.5*Assumptions!B32)</f>
        <v>12774707583.000628</v>
      </c>
    </row>
    <row r="20" spans="1:2" x14ac:dyDescent="0.25">
      <c r="A20" t="s">
        <v>62</v>
      </c>
      <c r="B20" s="18">
        <f>Forecast!B17+B19</f>
        <v>16976944632.248669</v>
      </c>
    </row>
    <row r="21" spans="1:2" x14ac:dyDescent="0.25">
      <c r="A21" t="s">
        <v>63</v>
      </c>
      <c r="B21" s="18">
        <f>-Assumptions!B30</f>
        <v>-1709500000</v>
      </c>
    </row>
    <row r="22" spans="1:2" x14ac:dyDescent="0.25">
      <c r="A22" t="s">
        <v>64</v>
      </c>
      <c r="B22" s="18">
        <f>B20+B21</f>
        <v>15267444632.248669</v>
      </c>
    </row>
    <row r="23" spans="1:2" x14ac:dyDescent="0.25">
      <c r="A23" s="19" t="s">
        <v>65</v>
      </c>
      <c r="B23" s="25">
        <f>B22/Assumptions!B31</f>
        <v>34.41305547420138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27.22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33.71277291226485</v>
      </c>
    </row>
    <row r="29" spans="1:2" x14ac:dyDescent="0.25">
      <c r="A29" s="19" t="s">
        <v>73</v>
      </c>
      <c r="B29" s="12">
        <f>B28/B26-1</f>
        <v>0.23852949714419003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0.049682</v>
      </c>
      <c r="B5" s="31">
        <v>48.16003569034948</v>
      </c>
      <c r="C5" s="31">
        <v>53.68981120026237</v>
      </c>
      <c r="D5" s="31">
        <v>61.438744669652706</v>
      </c>
      <c r="E5" s="31">
        <v>73.0980955941084</v>
      </c>
      <c r="F5" s="31">
        <v>92.66297784271958</v>
      </c>
    </row>
    <row r="6" spans="1:6" x14ac:dyDescent="0.25">
      <c r="A6" s="30">
        <v>0.059682</v>
      </c>
      <c r="B6" s="31">
        <v>37.14490830286977</v>
      </c>
      <c r="C6" s="31">
        <v>39.971083318297524</v>
      </c>
      <c r="D6" s="31">
        <v>43.59764931427436</v>
      </c>
      <c r="E6" s="31">
        <v>48.42908930098277</v>
      </c>
      <c r="F6" s="31">
        <v>55.19764174617141</v>
      </c>
    </row>
    <row r="7" spans="1:6" x14ac:dyDescent="0.25">
      <c r="A7" s="30">
        <v>0.069682</v>
      </c>
      <c r="B7" s="31">
        <v>30.139646341395704</v>
      </c>
      <c r="C7" s="31">
        <v>31.751246245375302</v>
      </c>
      <c r="D7" s="32">
        <v>33.71274563702098</v>
      </c>
      <c r="E7" s="31">
        <v>36.15640832145826</v>
      </c>
      <c r="F7" s="31">
        <v>39.29077040940377</v>
      </c>
    </row>
    <row r="8" spans="1:6" x14ac:dyDescent="0.25">
      <c r="A8" s="30">
        <v>0.079682</v>
      </c>
      <c r="B8" s="31">
        <v>25.285394043287496</v>
      </c>
      <c r="C8" s="31">
        <v>26.26737092992453</v>
      </c>
      <c r="D8" s="31">
        <v>27.42047791906258</v>
      </c>
      <c r="E8" s="31">
        <v>28.796382647622764</v>
      </c>
      <c r="F8" s="31">
        <v>30.46987957626781</v>
      </c>
    </row>
    <row r="9" spans="1:6" x14ac:dyDescent="0.25">
      <c r="A9" s="30">
        <v>0.089682</v>
      </c>
      <c r="B9" s="31">
        <v>21.718850213266734</v>
      </c>
      <c r="C9" s="31">
        <v>22.342481670918694</v>
      </c>
      <c r="D9" s="31">
        <v>23.05567526630302</v>
      </c>
      <c r="E9" s="31">
        <v>23.88094083598659</v>
      </c>
      <c r="F9" s="31">
        <v>24.849021213342173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6466400000</v>
      </c>
      <c r="C5" s="18">
        <v>6240900000</v>
      </c>
      <c r="D5" s="18">
        <v>5867800000</v>
      </c>
      <c r="E5" s="18">
        <v>5650600000</v>
      </c>
      <c r="F5" s="8" t="s">
        <v>84</v>
      </c>
    </row>
    <row r="6" spans="1:6" x14ac:dyDescent="0.25">
      <c r="A6" t="s">
        <v>44</v>
      </c>
      <c r="B6" s="18">
        <v>938700000</v>
      </c>
      <c r="C6" s="18">
        <v>912100000</v>
      </c>
      <c r="D6" s="18">
        <v>820700000</v>
      </c>
      <c r="E6" s="18">
        <v>795700000</v>
      </c>
      <c r="F6" s="8" t="s">
        <v>85</v>
      </c>
    </row>
    <row r="7" spans="1:6" x14ac:dyDescent="0.25">
      <c r="A7" t="s">
        <v>86</v>
      </c>
      <c r="B7" s="18">
        <v>299500000</v>
      </c>
      <c r="C7" s="18">
        <v>283700000</v>
      </c>
      <c r="D7" s="18">
        <v>291500000</v>
      </c>
      <c r="E7" s="18">
        <v>297100000</v>
      </c>
      <c r="F7" s="8" t="s">
        <v>87</v>
      </c>
    </row>
    <row r="8" spans="1:6" x14ac:dyDescent="0.25">
      <c r="A8" t="s">
        <v>88</v>
      </c>
      <c r="B8" s="18">
        <v>147000000</v>
      </c>
      <c r="C8" s="18">
        <v>145900000</v>
      </c>
      <c r="D8" s="18">
        <v>157600000</v>
      </c>
      <c r="E8" s="18">
        <v>130100000</v>
      </c>
      <c r="F8" s="8" t="s">
        <v>89</v>
      </c>
    </row>
    <row r="9" spans="1:6" x14ac:dyDescent="0.25">
      <c r="A9" t="s">
        <v>90</v>
      </c>
      <c r="B9" s="18">
        <v>-19100000</v>
      </c>
      <c r="C9" s="18">
        <v>-60800000</v>
      </c>
      <c r="D9" s="18">
        <v>53600000</v>
      </c>
      <c r="E9" s="18">
        <v>12500000</v>
      </c>
      <c r="F9" s="8" t="s">
        <v>91</v>
      </c>
    </row>
    <row r="10" spans="1:6" x14ac:dyDescent="0.25">
      <c r="A10" t="s">
        <v>92</v>
      </c>
      <c r="B10" s="18">
        <v>3085400000</v>
      </c>
      <c r="C10" s="18">
        <v>2873200000</v>
      </c>
      <c r="D10" s="18">
        <v>2538100000</v>
      </c>
      <c r="E10" s="18">
        <v>3045200000</v>
      </c>
      <c r="F10" s="8" t="s">
        <v>93</v>
      </c>
    </row>
    <row r="11" spans="1:6" x14ac:dyDescent="0.25">
      <c r="A11" t="s">
        <v>94</v>
      </c>
      <c r="B11" s="18">
        <v>1375900000</v>
      </c>
      <c r="C11" s="18">
        <v>1215500000</v>
      </c>
      <c r="D11" s="18">
        <v>1183000000</v>
      </c>
      <c r="E11" s="18">
        <v>1684200000</v>
      </c>
      <c r="F11" s="8" t="s">
        <v>95</v>
      </c>
    </row>
    <row r="12" spans="1:6" x14ac:dyDescent="0.25">
      <c r="A12" t="s">
        <v>32</v>
      </c>
      <c r="B12" s="34">
        <v>443652690</v>
      </c>
      <c r="C12" s="34">
        <v>453898000</v>
      </c>
      <c r="D12" s="34">
        <v>453009724</v>
      </c>
      <c r="E12" s="34">
        <v>456569000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2026-09-19T00:08:10Z</dcterms:modified>
</cp:coreProperties>
</file>