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<sst xmlns="http://schemas.openxmlformats.org/spreadsheetml/2006/main" count="114" uniqueCount="100">
  <si>
    <t>BWP Trust (BWP.AX)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</si>
  <si>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</si>
  <si>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</si>
  <si>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</si>
  <si>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</si>
  <si>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</si>
  <si>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</si>
  <si>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</si>
  <si>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</si>
  <si>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</si>
  <si>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</si>
  <si>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</si>
  <si>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</si>
  <si>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</si>
  <si>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</si>
  <si>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</si>
  <si>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</si>
  <si>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</si>
  <si>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</si>
  <si>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</si>
  <si>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</si>
  <si>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</si>
  <si>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</si>
  <si>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</si>
  <si>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</si>
  <si>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</si>
  <si>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</si>
  <si>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</si>
  <si>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</si>
  <si>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</si>
  <si>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</si>
  <si>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</si>
  <si>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</si>
  <si>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</si>
  <si>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</si>
  <si>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</si>
  <si>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</si>
  <si>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</si>
  <si>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</si>
  <si>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</si>
  <si>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</si>
  <si>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</si>
  <si>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</si>
  <si>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</si>
  <si>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</si>
  <si>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</si>
  <si>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</si>
  <si>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</si>
  <si>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</si>
  <si>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</si>
  <si>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</si>
  <si>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</si>
  <si>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</si>
  <si>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</si>
  <si>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</si>
  <si>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</si>
  <si>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</si>
  <si>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</si>
  <si>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</si>
  <si>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</si>
  <si>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</si>
  <si>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</si>
  <si>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</si>
  <si>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</si>
  <si>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</si>
  <si>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</si>
  <si>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</si>
  <si>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</si>
  <si>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</si>
  <si>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</si>
  <si>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</si>
  <si>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</si>
  <si>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</si>
  <si>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</si>
  <si>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</si>
  <si>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</si>
  <si>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</si>
  <si>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</si>
  <si>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</si>
  <si>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</si>
  <si>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</si>
  <si>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</si>
  <si>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</si>
  <si>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</si>
  <si>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</si>
  <si>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</si>
  <si>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</si>
  <si>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derived</t>
  </si>
  <si>
    <t>Capital expenditure</t>
  </si>
  <si>
    <t>Change in working 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</si>
  <si>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</si>
  <si>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</si>
  <si>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</si>
  <si>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</si>
  <si>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</si>
  <si>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</si>
  <si>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</si>
  <si>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Reported capital expenditure averages just 0.00%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</si>
  <si>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0.0%.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</si>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</sst>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0.09493832974993688</v>
      </c>
    </row>
    <row r="7" spans="1:2" x14ac:dyDescent="0.25">
      <c r="A7" t="s">
        <v>5</v>
      </c>
      <c r="B7" s="6">
        <v>0.8381420932174138</v>
      </c>
    </row>
    <row r="8" spans="1:2" x14ac:dyDescent="0.25">
      <c r="A8" t="s">
        <v>6</v>
      </c>
      <c r="B8" s="6">
        <v>0</v>
      </c>
    </row>
    <row r="9" spans="1:2" x14ac:dyDescent="0.25">
      <c r="A9" t="s">
        <v>7</v>
      </c>
      <c r="B9" s="6">
        <v>0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-0.6649778340721976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19.092063480155556</v>
      </c>
    </row>
    <row r="14" spans="1:3" x14ac:dyDescent="0.25">
      <c r="A14" t="s">
        <v>12</v>
      </c>
      <c r="B14" s="6">
        <v>0.08651246467605522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0.69381</v>
      </c>
      <c r="C19" s="8" t="s">
        <v>19</v>
      </c>
    </row>
    <row r="20" spans="1:2" x14ac:dyDescent="0.25">
      <c r="A20" t="s">
        <v>20</v>
      </c>
      <c r="B20" s="10">
        <f>B17+B19*B18</f>
        <v>0.0951086</v>
      </c>
    </row>
    <row r="21" spans="1:3" x14ac:dyDescent="0.25">
      <c r="A21" t="s">
        <v>21</v>
      </c>
      <c r="B21" s="6">
        <v>0.05456407899901395</v>
      </c>
      <c r="C21" s="8" t="s">
        <v>22</v>
      </c>
    </row>
    <row r="22" spans="1:2" x14ac:dyDescent="0.25">
      <c r="A22" t="s">
        <v>23</v>
      </c>
      <c r="B22" s="11">
        <v>2819753728</v>
      </c>
    </row>
    <row r="23" spans="1:2" x14ac:dyDescent="0.25">
      <c r="A23" t="s">
        <v>24</v>
      </c>
      <c r="B23" s="11">
        <v>758692000</v>
      </c>
    </row>
    <row r="24" spans="1:2" x14ac:dyDescent="0.25">
      <c r="A24" t="s">
        <v>25</v>
      </c>
      <c r="B24" s="10">
        <f>B22/(B22+B23)</f>
        <v>0.7879828121847654</v>
      </c>
    </row>
    <row r="25" spans="1:2" x14ac:dyDescent="0.25">
      <c r="A25" t="s">
        <v>26</v>
      </c>
      <c r="B25" s="10">
        <f>1-B24</f>
        <v>0.2120171878152346</v>
      </c>
    </row>
    <row r="26" spans="1:2" x14ac:dyDescent="0.25">
      <c r="A26" t="s">
        <v>27</v>
      </c>
      <c r="B26" s="12">
        <f>B24*B20+B25*B21*(1-B8)</f>
        <v>0.08651246467605522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207298000</v>
      </c>
      <c r="C29" s="8" t="s">
        <v>30</v>
      </c>
    </row>
    <row r="30" spans="1:2" x14ac:dyDescent="0.25">
      <c r="A30" t="s">
        <v>31</v>
      </c>
      <c r="B30" s="11">
        <v>641351000</v>
      </c>
    </row>
    <row r="31" spans="1:2" x14ac:dyDescent="0.25">
      <c r="A31" t="s">
        <v>32</v>
      </c>
      <c r="B31" s="13">
        <v>730194235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0.09493832974993688</v>
      </c>
      <c r="C5" s="10">
        <f>Assumptions!B6</f>
        <v>0.09493832974993688</v>
      </c>
      <c r="D5" s="10">
        <f>Assumptions!B6</f>
        <v>0.09493832974993688</v>
      </c>
      <c r="E5" s="10">
        <f>Assumptions!B6</f>
        <v>0.09493832974993688</v>
      </c>
      <c r="F5" s="10">
        <f>Assumptions!B6</f>
        <v>0.09493832974993688</v>
      </c>
    </row>
    <row r="6" spans="1:6" x14ac:dyDescent="0.25">
      <c r="A6" t="s">
        <v>43</v>
      </c>
      <c r="B6" s="18">
        <f>Assumptions!B29*(1+B5)</f>
        <v>226978525.8805024</v>
      </c>
      <c r="C6" s="18">
        <f>B6*(1+C5)</f>
        <v>248527488.01670012</v>
      </c>
      <c r="D6" s="18">
        <f>C6*(1+D5)</f>
        <v>272122272.6259531</v>
      </c>
      <c r="E6" s="18">
        <f>D6*(1+E5)</f>
        <v>297957106.676818</v>
      </c>
      <c r="F6" s="18">
        <f>E6*(1+F5)</f>
        <v>326244656.7218389</v>
      </c>
    </row>
    <row r="7" spans="1:6" x14ac:dyDescent="0.25">
      <c r="A7" t="s">
        <v>5</v>
      </c>
      <c r="B7" s="10">
        <f>Assumptions!B7</f>
        <v>0.8381420932174138</v>
      </c>
      <c r="C7" s="10">
        <f>Assumptions!B7</f>
        <v>0.8381420932174138</v>
      </c>
      <c r="D7" s="10">
        <f>Assumptions!B7</f>
        <v>0.8381420932174138</v>
      </c>
      <c r="E7" s="10">
        <f>Assumptions!B7</f>
        <v>0.8381420932174138</v>
      </c>
      <c r="F7" s="10">
        <f>Assumptions!B7</f>
        <v>0.8381420932174138</v>
      </c>
    </row>
    <row r="8" spans="1:6" x14ac:dyDescent="0.25">
      <c r="A8" t="s">
        <v>44</v>
      </c>
      <c r="B8" s="18">
        <f>B6*B7</f>
        <v>190240256.79688722</v>
      </c>
      <c r="C8" s="18">
        <f>C6*C7</f>
        <v>208301349.02838278</v>
      </c>
      <c r="D8" s="18">
        <f>D6*D7</f>
        <v>228077131.18979606</v>
      </c>
      <c r="E8" s="18">
        <f>E6*E7</f>
        <v>249730393.07911253</v>
      </c>
      <c r="F8" s="18">
        <f>F6*F7</f>
        <v>273439379.48583865</v>
      </c>
    </row>
    <row r="9" spans="1:6" x14ac:dyDescent="0.25">
      <c r="A9" t="s">
        <v>45</v>
      </c>
      <c r="B9" s="18">
        <f>B8*(1-Assumptions!B8)</f>
        <v>190240256.79688722</v>
      </c>
      <c r="C9" s="18">
        <f>C8*(1-Assumptions!B8)</f>
        <v>208301349.02838278</v>
      </c>
      <c r="D9" s="18">
        <f>D8*(1-Assumptions!B8)</f>
        <v>228077131.18979606</v>
      </c>
      <c r="E9" s="18">
        <f>E8*(1-Assumptions!B8)</f>
        <v>249730393.07911253</v>
      </c>
      <c r="F9" s="18">
        <f>F8*(1-Assumptions!B8)</f>
        <v>273439379.48583865</v>
      </c>
    </row>
    <row r="10" spans="1:6" x14ac:dyDescent="0.25">
      <c r="A10" t="s">
        <v>46</v>
      </c>
      <c r="B10" s="18">
        <f>B6*Assumptions!B9</f>
        <v>0</v>
      </c>
      <c r="C10" s="18">
        <f>C6*Assumptions!B9</f>
        <v>0</v>
      </c>
      <c r="D10" s="18">
        <f>D6*Assumptions!B9</f>
        <v>0</v>
      </c>
      <c r="E10" s="18">
        <f>E6*Assumptions!B9</f>
        <v>0</v>
      </c>
      <c r="F10" s="18">
        <f>F6*Assumptions!B9</f>
        <v>0</v>
      </c>
    </row>
    <row r="11" spans="1:6" x14ac:dyDescent="0.25">
      <c r="A11" t="s">
        <v>47</v>
      </c>
      <c r="B11" s="18">
        <f>-B6*Assumptions!B10</f>
        <v>-2269785.258805024</v>
      </c>
      <c r="C11" s="18">
        <f>-C6*Assumptions!B10</f>
        <v>-2485274.8801670014</v>
      </c>
      <c r="D11" s="18">
        <f>-D6*Assumptions!B10</f>
        <v>-2721222.726259531</v>
      </c>
      <c r="E11" s="18">
        <f>-E6*Assumptions!B10</f>
        <v>-2979571.06676818</v>
      </c>
      <c r="F11" s="18">
        <f>-F6*Assumptions!B10</f>
        <v>-3262446.567218389</v>
      </c>
    </row>
    <row r="12" spans="1:6" x14ac:dyDescent="0.25">
      <c r="A12" t="s">
        <v>48</v>
      </c>
      <c r="B12" s="18">
        <f>-(B6-Assumptions!B29)*Assumptions!B11</f>
        <v>13087113.473418316</v>
      </c>
      <c r="C12" s="18">
        <f>-(C6-B6)*Assumptions!B11</f>
        <v>14329582.167832553</v>
      </c>
      <c r="D12" s="18">
        <f>-(D6-C6)*Assumptions!B11</f>
        <v>15690008.764861055</v>
      </c>
      <c r="E12" s="18">
        <f>-(E6-D6)*Assumptions!B11</f>
        <v>17179591.99075882</v>
      </c>
      <c r="F12" s="18">
        <f>-(F6-E6)*Assumptions!B11</f>
        <v>18810593.76014688</v>
      </c>
    </row>
    <row r="13" spans="1:6" x14ac:dyDescent="0.25">
      <c r="A13" s="19" t="s">
        <v>49</v>
      </c>
      <c r="B13" s="20">
        <f>B9+B10+B11+B12</f>
        <v>201057585.0115005</v>
      </c>
      <c r="C13" s="20">
        <f>C9+C10+C11+C12</f>
        <v>220145656.31604832</v>
      </c>
      <c r="D13" s="20">
        <f>D9+D10+D11+D12</f>
        <v>241045917.22839758</v>
      </c>
      <c r="E13" s="20">
        <f>E9+E10+E11+E12</f>
        <v>263930414.0031032</v>
      </c>
      <c r="F13" s="20">
        <f>F9+F10+F11+F12</f>
        <v>288987526.67876714</v>
      </c>
    </row>
    <row r="14" spans="1:6" x14ac:dyDescent="0.25">
      <c r="A14" t="s">
        <v>50</v>
      </c>
      <c r="B14" s="21">
        <f>1/(1+Assumptions!$B$26)^(1-0.5*Assumptions!$B$32)</f>
        <v>0.9593622900176133</v>
      </c>
      <c r="C14" s="21">
        <f>1/(1+Assumptions!$B$26)^(2-0.5*Assumptions!$B$32)</f>
        <v>0.8829740304025393</v>
      </c>
      <c r="D14" s="21">
        <f>1/(1+Assumptions!$B$26)^(3-0.5*Assumptions!$B$32)</f>
        <v>0.8126681093030984</v>
      </c>
      <c r="E14" s="21">
        <f>1/(1+Assumptions!$B$26)^(4-0.5*Assumptions!$B$32)</f>
        <v>0.7479602266186575</v>
      </c>
      <c r="F14" s="21">
        <f>1/(1+Assumptions!$B$26)^(5-0.5*Assumptions!$B$32)</f>
        <v>0.6884046441580975</v>
      </c>
    </row>
    <row r="15" spans="1:6" x14ac:dyDescent="0.25">
      <c r="A15" s="19" t="s">
        <v>51</v>
      </c>
      <c r="B15" s="20">
        <f>B13*B14</f>
        <v>192887065.1820441</v>
      </c>
      <c r="C15" s="20">
        <f>C13*C14</f>
        <v>194382897.4329934</v>
      </c>
      <c r="D15" s="20">
        <f>D13*D14</f>
        <v>195890329.809233</v>
      </c>
      <c r="E15" s="20">
        <f>E13*E14</f>
        <v>197409452.26931715</v>
      </c>
      <c r="F15" s="20">
        <f>F13*F14</f>
        <v>198940355.4694254</v>
      </c>
    </row>
    <row r="17" spans="1:2" x14ac:dyDescent="0.25">
      <c r="A17" s="22" t="s">
        <v>52</v>
      </c>
      <c r="B17" s="23">
        <f>SUM(B15:F15)</f>
        <v>979510100.1630131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288987526.67876714</v>
      </c>
    </row>
    <row r="5" spans="1:2" x14ac:dyDescent="0.25">
      <c r="A5" t="s">
        <v>56</v>
      </c>
      <c r="B5" s="18">
        <f>IF(Assumptions!$B$33=0,B4,B4-Forecast!F11-Forecast!F10-Forecast!F12)</f>
        <v>273439379.48583865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0.2889756995551123</v>
      </c>
    </row>
    <row r="7" spans="1:2" x14ac:dyDescent="0.25">
      <c r="A7" t="s">
        <v>58</v>
      </c>
      <c r="B7" s="18">
        <f>-MAX(Forecast!F9,0)*B6</f>
        <v>-79017335.97283605</v>
      </c>
    </row>
    <row r="8" spans="1:2" x14ac:dyDescent="0.25">
      <c r="A8" t="s">
        <v>59</v>
      </c>
      <c r="B8" s="18">
        <f>IF(OR(Assumptions!$B$33=0,Assumptions!B12&lt;=0),B5,MAX(B5+B7,0))</f>
        <v>194422043.5130026</v>
      </c>
    </row>
    <row r="9" spans="1:2" x14ac:dyDescent="0.25">
      <c r="A9" t="s">
        <v>60</v>
      </c>
      <c r="B9" s="18">
        <f>B8*(1+Assumptions!B12)/(Assumptions!B26-Assumptions!B12)</f>
        <v>3239710774.886278</v>
      </c>
    </row>
    <row r="10" spans="1:2" x14ac:dyDescent="0.25">
      <c r="A10" t="s">
        <v>61</v>
      </c>
      <c r="B10" s="18">
        <f>B9/(1+Assumptions!B26)^(5-0.5*Assumptions!B32)</f>
        <v>2230231943.1607428</v>
      </c>
    </row>
    <row r="11" spans="1:2" x14ac:dyDescent="0.25">
      <c r="A11" t="s">
        <v>62</v>
      </c>
      <c r="B11" s="18">
        <f>Forecast!B17+B10</f>
        <v>3209742043.3237557</v>
      </c>
    </row>
    <row r="12" spans="1:2" x14ac:dyDescent="0.25">
      <c r="A12" t="s">
        <v>63</v>
      </c>
      <c r="B12" s="18">
        <f>-Assumptions!B30</f>
        <v>-641351000</v>
      </c>
    </row>
    <row r="13" spans="1:2" x14ac:dyDescent="0.25">
      <c r="A13" t="s">
        <v>64</v>
      </c>
      <c r="B13" s="18">
        <f>B11+B12</f>
        <v>2568391043.3237557</v>
      </c>
    </row>
    <row r="14" spans="1:2" x14ac:dyDescent="0.25">
      <c r="A14" s="19" t="s">
        <v>65</v>
      </c>
      <c r="B14" s="24">
        <f>B13/Assumptions!B31</f>
        <v>3.51740799942601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273439379.48583865</v>
      </c>
    </row>
    <row r="18" spans="1:2" x14ac:dyDescent="0.25">
      <c r="A18" t="s">
        <v>60</v>
      </c>
      <c r="B18" s="18">
        <f>B17*Assumptions!B13</f>
        <v>5220521991.117976</v>
      </c>
    </row>
    <row r="19" spans="1:2" x14ac:dyDescent="0.25">
      <c r="A19" t="s">
        <v>61</v>
      </c>
      <c r="B19" s="18">
        <f>B18/(1+Assumptions!B26)^(5-0.5*Assumptions!B32)</f>
        <v>3593831583.615093</v>
      </c>
    </row>
    <row r="20" spans="1:2" x14ac:dyDescent="0.25">
      <c r="A20" t="s">
        <v>62</v>
      </c>
      <c r="B20" s="18">
        <f>Forecast!B17+B19</f>
        <v>4573341683.778107</v>
      </c>
    </row>
    <row r="21" spans="1:2" x14ac:dyDescent="0.25">
      <c r="A21" t="s">
        <v>63</v>
      </c>
      <c r="B21" s="18">
        <f>-Assumptions!B30</f>
        <v>-641351000</v>
      </c>
    </row>
    <row r="22" spans="1:2" x14ac:dyDescent="0.25">
      <c r="A22" t="s">
        <v>64</v>
      </c>
      <c r="B22" s="18">
        <f>B20+B21</f>
        <v>3931990683.7781067</v>
      </c>
    </row>
    <row r="23" spans="1:2" x14ac:dyDescent="0.25">
      <c r="A23" s="19" t="s">
        <v>65</v>
      </c>
      <c r="B23" s="25">
        <f>B22/Assumptions!B31</f>
        <v>5.384855830555971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3.59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3.51740799942601</v>
      </c>
    </row>
    <row r="29" spans="1:2" x14ac:dyDescent="0.25">
      <c r="A29" s="19" t="s">
        <v>73</v>
      </c>
      <c r="B29" s="12">
        <f>B28/B26-1</f>
        <v>-0.02022061297325628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0.066512</v>
      </c>
      <c r="B5" s="31">
        <v>4.804810106147607</v>
      </c>
      <c r="C5" s="31">
        <v>4.825879245650893</v>
      </c>
      <c r="D5" s="31">
        <v>4.846948385154178</v>
      </c>
      <c r="E5" s="31">
        <v>4.868017524657465</v>
      </c>
      <c r="F5" s="31">
        <v>4.889086664160748</v>
      </c>
    </row>
    <row r="6" spans="1:6" x14ac:dyDescent="0.25">
      <c r="A6" s="30">
        <v>0.076512</v>
      </c>
      <c r="B6" s="31">
        <v>4.059913653017328</v>
      </c>
      <c r="C6" s="31">
        <v>4.077475822784757</v>
      </c>
      <c r="D6" s="31">
        <v>4.095037992552187</v>
      </c>
      <c r="E6" s="31">
        <v>4.112600162319617</v>
      </c>
      <c r="F6" s="31">
        <v>4.130162332087047</v>
      </c>
    </row>
    <row r="7" spans="1:6" x14ac:dyDescent="0.25">
      <c r="A7" s="30">
        <v>0.086512</v>
      </c>
      <c r="B7" s="31">
        <v>3.4876334640186486</v>
      </c>
      <c r="C7" s="31">
        <v>3.502532595046102</v>
      </c>
      <c r="D7" s="32">
        <v>3.517431726073554</v>
      </c>
      <c r="E7" s="31">
        <v>3.5323308571010066</v>
      </c>
      <c r="F7" s="31">
        <v>3.547229988128459</v>
      </c>
    </row>
    <row r="8" spans="1:6" x14ac:dyDescent="0.25">
      <c r="A8" s="30">
        <v>0.096512</v>
      </c>
      <c r="B8" s="31">
        <v>3.034298579209411</v>
      </c>
      <c r="C8" s="31">
        <v>3.0471145379015936</v>
      </c>
      <c r="D8" s="31">
        <v>3.059930496593776</v>
      </c>
      <c r="E8" s="31">
        <v>3.0727464552859596</v>
      </c>
      <c r="F8" s="31">
        <v>3.0855624139781415</v>
      </c>
    </row>
    <row r="9" spans="1:6" x14ac:dyDescent="0.25">
      <c r="A9" s="30">
        <v>0.106512</v>
      </c>
      <c r="B9" s="31">
        <v>2.6663944363165806</v>
      </c>
      <c r="C9" s="31">
        <v>2.6775422973951435</v>
      </c>
      <c r="D9" s="31">
        <v>2.688690158473706</v>
      </c>
      <c r="E9" s="31">
        <v>2.699838019552268</v>
      </c>
      <c r="F9" s="31">
        <v>2.7109858806308313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207298000</v>
      </c>
      <c r="C5" s="18">
        <v>202698000</v>
      </c>
      <c r="D5" s="18">
        <v>173706000</v>
      </c>
      <c r="E5" s="18">
        <v>157916000</v>
      </c>
      <c r="F5" s="8" t="s">
        <v>84</v>
      </c>
    </row>
    <row r="6" spans="1:6" x14ac:dyDescent="0.25">
      <c r="A6" t="s">
        <v>44</v>
      </c>
      <c r="B6" s="18">
        <v>181285000</v>
      </c>
      <c r="C6" s="18">
        <v>167406000</v>
      </c>
      <c r="D6" s="18">
        <v>143955000</v>
      </c>
      <c r="E6" s="18">
        <v>130034000</v>
      </c>
      <c r="F6" s="8" t="s">
        <v>85</v>
      </c>
    </row>
    <row r="7" spans="1:6" x14ac:dyDescent="0.25">
      <c r="A7" t="s">
        <v>86</v>
      </c>
      <c r="B7" s="18">
        <v>0</v>
      </c>
      <c r="C7" s="18">
        <v>0</v>
      </c>
      <c r="D7" s="18">
        <v>0</v>
      </c>
      <c r="E7" s="18">
        <v>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87</v>
      </c>
    </row>
    <row r="9" spans="1:6" x14ac:dyDescent="0.25">
      <c r="A9" t="s">
        <v>89</v>
      </c>
      <c r="B9" s="18">
        <v>-6113000</v>
      </c>
      <c r="C9" s="18">
        <v>11143000</v>
      </c>
      <c r="D9" s="18">
        <v>-10500000</v>
      </c>
      <c r="E9" s="18">
        <v>0</v>
      </c>
      <c r="F9" s="8" t="s">
        <v>87</v>
      </c>
    </row>
    <row r="10" spans="1:6" x14ac:dyDescent="0.25">
      <c r="A10" t="s">
        <v>90</v>
      </c>
      <c r="B10" s="18">
        <v>758692000</v>
      </c>
      <c r="C10" s="18">
        <v>808163000</v>
      </c>
      <c r="D10" s="18">
        <v>771599000</v>
      </c>
      <c r="E10" s="18">
        <v>468473000</v>
      </c>
      <c r="F10" s="8" t="s">
        <v>91</v>
      </c>
    </row>
    <row r="11" spans="1:6" x14ac:dyDescent="0.25">
      <c r="A11" t="s">
        <v>92</v>
      </c>
      <c r="B11" s="18">
        <v>117341000</v>
      </c>
      <c r="C11" s="18">
        <v>26459000</v>
      </c>
      <c r="D11" s="18">
        <v>27300000</v>
      </c>
      <c r="E11" s="18">
        <v>16832000</v>
      </c>
      <c r="F11" s="8" t="s">
        <v>93</v>
      </c>
    </row>
    <row r="12" spans="1:6" x14ac:dyDescent="0.25">
      <c r="A12" t="s">
        <v>32</v>
      </c>
      <c r="B12" s="34">
        <v>730194235</v>
      </c>
      <c r="C12" s="34">
        <v>715887282</v>
      </c>
      <c r="D12" s="34">
        <v>662504440</v>
      </c>
      <c r="E12" s="34">
        <v>644522985</v>
      </c>
      <c r="F12" s="8" t="s">
        <v>94</v>
      </c>
    </row>
    <row r="15" spans="1:1" x14ac:dyDescent="0.25">
      <c r="A15" s="19" t="s">
        <v>95</v>
      </c>
    </row>
    <row r="16" ht="22" customHeight="1" spans="1:6" x14ac:dyDescent="0.25">
      <c r="A16" s="35" t="s">
        <v>96</v>
      </c>
      <c r="B16" s="35"/>
      <c r="C16" s="35"/>
      <c r="D16" s="35"/>
      <c r="E16" s="35"/>
      <c r="F16" s="35"/>
    </row>
    <row r="17" ht="86" customHeight="1" spans="1:6" x14ac:dyDescent="0.25">
      <c r="A17" s="35" t="s">
        <v>97</v>
      </c>
      <c r="B17" s="35"/>
      <c r="C17" s="35"/>
      <c r="D17" s="35"/>
      <c r="E17" s="35"/>
      <c r="F17" s="35"/>
    </row>
    <row r="18" ht="54" customHeight="1" spans="1:6" x14ac:dyDescent="0.25">
      <c r="A18" s="35" t="s">
        <v>98</v>
      </c>
      <c r="B18" s="35"/>
      <c r="C18" s="35"/>
      <c r="D18" s="35"/>
      <c r="E18" s="35"/>
      <c r="F18" s="35"/>
    </row>
    <row r="20" spans="1:1" x14ac:dyDescent="0.25">
      <c r="A20" s="36" t="s">
        <v>99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2026-09-19T00:06:52Z</dcterms:modified>
</cp:coreProperties>
</file>