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<sst xmlns="http://schemas.openxmlformats.org/spreadsheetml/2006/main" count="114" uniqueCount="102">
  <si>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Blackstone Inc. (BX)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</si>
  <si>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</si>
  <si>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</si>
  <si>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</si>
  <si>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</si>
  <si>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</si>
  <si>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</si>
  <si>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</si>
  <si>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</si>
  <si>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</si>
  <si>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</si>
  <si>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</si>
  <si>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</si>
  <si>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</si>
  <si>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</si>
  <si>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</si>
  <si>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</si>
  <si>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</si>
  <si>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</si>
  <si>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</si>
  <si>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</si>
  <si>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</si>
  <si>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</si>
  <si>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</si>
  <si>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</si>
  <si>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</si>
  <si>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</si>
  <si>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</si>
  <si>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</si>
  <si>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</si>
  <si>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</si>
  <si>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</si>
  <si>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</si>
  <si>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</si>
  <si>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</si>
  <si>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</si>
  <si>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</si>
  <si>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</si>
  <si>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</si>
  <si>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</si>
  <si>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</si>
  <si>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</si>
  <si>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</si>
  <si>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</si>
  <si>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</si>
  <si>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</si>
  <si>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</si>
  <si>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</si>
  <si>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</si>
  <si>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</si>
  <si>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</si>
  <si>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</si>
  <si>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</si>
  <si>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</si>
  <si>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</si>
  <si>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</si>
  <si>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</si>
  <si>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</si>
  <si>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</si>
  <si>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</si>
  <si>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</si>
  <si>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</si>
  <si>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</si>
  <si>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</si>
  <si>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</si>
  <si>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</si>
  <si>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</si>
  <si>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</si>
  <si>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</si>
  <si>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</si>
  <si>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</si>
  <si>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</si>
  <si>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</si>
  <si>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</si>
  <si>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</si>
  <si>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</si>
  <si>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</si>
  <si>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</si>
  <si>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</si>
  <si>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</si>
  <si>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</si>
  <si>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</si>
  <si>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</si>
  <si>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</si>
  <si>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</si>
  <si>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</si>
  <si>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</si>
  <si>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</si>
  <si>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</si>
  <si>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</si>
  <si>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</si>
  <si>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</si>
  <si>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</si>
  <si>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</si>
  <si>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</si>
  <si>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</si>
  <si>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</si>
  <si>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</si>
  <si>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</si>
  <si>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2.0%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</si>
  <si>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Current EV/EBITDA of 22.2x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</si>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</sst>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0.20274657241463667</v>
      </c>
    </row>
    <row r="7" spans="1:2" x14ac:dyDescent="0.25">
      <c r="A7" t="s">
        <v>5</v>
      </c>
      <c r="B7" s="6">
        <v>0.5190809692891512</v>
      </c>
    </row>
    <row r="8" spans="1:2" x14ac:dyDescent="0.25">
      <c r="A8" t="s">
        <v>6</v>
      </c>
      <c r="B8" s="6">
        <v>0.1575185491081073</v>
      </c>
    </row>
    <row r="9" spans="1:2" x14ac:dyDescent="0.25">
      <c r="A9" t="s">
        <v>7</v>
      </c>
      <c r="B9" s="6">
        <v>0.005329918216745491</v>
      </c>
    </row>
    <row r="10" spans="1:2" x14ac:dyDescent="0.25">
      <c r="A10" t="s">
        <v>8</v>
      </c>
      <c r="B10" s="6">
        <v>0.019990229449303197</v>
      </c>
    </row>
    <row r="11" spans="1:2" x14ac:dyDescent="0.25">
      <c r="A11" t="s">
        <v>9</v>
      </c>
      <c r="B11" s="6">
        <v>0.3922453503423005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0.21219283869129776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1.37386</v>
      </c>
      <c r="C19" s="8" t="s">
        <v>19</v>
      </c>
    </row>
    <row r="20" spans="1:2" x14ac:dyDescent="0.25">
      <c r="A20" t="s">
        <v>20</v>
      </c>
      <c r="B20" s="10">
        <f>B17+B19*B18</f>
        <v>0.1255423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149364408320</v>
      </c>
    </row>
    <row r="23" spans="1:2" x14ac:dyDescent="0.25">
      <c r="A23" t="s">
        <v>24</v>
      </c>
      <c r="B23" s="11">
        <v>13306165000</v>
      </c>
    </row>
    <row r="24" spans="1:2" x14ac:dyDescent="0.25">
      <c r="A24" t="s">
        <v>25</v>
      </c>
      <c r="B24" s="10">
        <f>B22/(B22+B23)</f>
        <v>0.918201769819643</v>
      </c>
    </row>
    <row r="25" spans="1:2" x14ac:dyDescent="0.25">
      <c r="A25" t="s">
        <v>26</v>
      </c>
      <c r="B25" s="10">
        <f>1-B24</f>
        <v>0.08179823018035703</v>
      </c>
    </row>
    <row r="26" spans="1:2" x14ac:dyDescent="0.25">
      <c r="A26" t="s">
        <v>27</v>
      </c>
      <c r="B26" s="12">
        <f>B24*B20+B25*B21*(1-B8)</f>
        <v>0.11871745835953251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12410012000</v>
      </c>
      <c r="C29" s="8" t="s">
        <v>30</v>
      </c>
    </row>
    <row r="30" spans="1:2" x14ac:dyDescent="0.25">
      <c r="A30" t="s">
        <v>31</v>
      </c>
      <c r="B30" s="11">
        <v>10674924000</v>
      </c>
    </row>
    <row r="31" spans="1:2" x14ac:dyDescent="0.25">
      <c r="A31" t="s">
        <v>32</v>
      </c>
      <c r="B31" s="13">
        <v>780215856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0.20274657241463667</v>
      </c>
      <c r="C5" s="10">
        <f>Assumptions!B6</f>
        <v>0.20274657241463667</v>
      </c>
      <c r="D5" s="10">
        <f>Assumptions!B6</f>
        <v>0.20274657241463667</v>
      </c>
      <c r="E5" s="10">
        <f>Assumptions!B6</f>
        <v>0.20274657241463667</v>
      </c>
      <c r="F5" s="10">
        <f>Assumptions!B6</f>
        <v>0.20274657241463667</v>
      </c>
    </row>
    <row r="6" spans="1:6" x14ac:dyDescent="0.25">
      <c r="A6" t="s">
        <v>43</v>
      </c>
      <c r="B6" s="18">
        <f>Assumptions!B29*(1+B5)</f>
        <v>14926099396.62451</v>
      </c>
      <c r="C6" s="18">
        <f>B6*(1+C5)</f>
        <v>17952314888.810307</v>
      </c>
      <c r="D6" s="18">
        <f>C6*(1+D5)</f>
        <v>21592085199.424847</v>
      </c>
      <c r="E6" s="18">
        <f>D6*(1+E5)</f>
        <v>25969806464.89304</v>
      </c>
      <c r="F6" s="18">
        <f>E6*(1+F5)</f>
        <v>31235095711.921577</v>
      </c>
    </row>
    <row r="7" spans="1:6" x14ac:dyDescent="0.25">
      <c r="A7" t="s">
        <v>5</v>
      </c>
      <c r="B7" s="10">
        <f>Assumptions!B7</f>
        <v>0.5190809692891512</v>
      </c>
      <c r="C7" s="10">
        <f>Assumptions!B7</f>
        <v>0.5190809692891512</v>
      </c>
      <c r="D7" s="10">
        <f>Assumptions!B7</f>
        <v>0.5190809692891512</v>
      </c>
      <c r="E7" s="10">
        <f>Assumptions!B7</f>
        <v>0.5190809692891512</v>
      </c>
      <c r="F7" s="10">
        <f>Assumptions!B7</f>
        <v>0.5190809692891512</v>
      </c>
    </row>
    <row r="8" spans="1:6" x14ac:dyDescent="0.25">
      <c r="A8" t="s">
        <v>44</v>
      </c>
      <c r="B8" s="18">
        <f>B6*B7</f>
        <v>7747854142.506064</v>
      </c>
      <c r="C8" s="18">
        <f>C6*C7</f>
        <v>9318705013.467714</v>
      </c>
      <c r="D8" s="18">
        <f>D6*D7</f>
        <v>11208040514.291384</v>
      </c>
      <c r="E8" s="18">
        <f>E6*E7</f>
        <v>13480432312.048344</v>
      </c>
      <c r="F8" s="18">
        <f>F6*F7</f>
        <v>16213543757.983662</v>
      </c>
    </row>
    <row r="9" spans="1:6" x14ac:dyDescent="0.25">
      <c r="A9" t="s">
        <v>45</v>
      </c>
      <c r="B9" s="18">
        <f>B8*(1-Assumptions!B8)</f>
        <v>6527423399.27727</v>
      </c>
      <c r="C9" s="18">
        <f>C8*(1-Assumptions!B8)</f>
        <v>7850836120.179835</v>
      </c>
      <c r="D9" s="18">
        <f>D8*(1-Assumptions!B8)</f>
        <v>9442566234.13532</v>
      </c>
      <c r="E9" s="18">
        <f>E8*(1-Assumptions!B8)</f>
        <v>11357014172.90444</v>
      </c>
      <c r="F9" s="18">
        <f>F8*(1-Assumptions!B8)</f>
        <v>13659609869.325266</v>
      </c>
    </row>
    <row r="10" spans="1:6" x14ac:dyDescent="0.25">
      <c r="A10" t="s">
        <v>46</v>
      </c>
      <c r="B10" s="18">
        <f>B6*Assumptions!B9</f>
        <v>79554889.07902285</v>
      </c>
      <c r="C10" s="18">
        <f>C6*Assumptions!B9</f>
        <v>95684370.15862136</v>
      </c>
      <c r="D10" s="18">
        <f>D6*Assumptions!B9</f>
        <v>115084048.24193518</v>
      </c>
      <c r="E10" s="18">
        <f>E6*Assumptions!B9</f>
        <v>138416944.5625882</v>
      </c>
      <c r="F10" s="18">
        <f>F6*Assumptions!B9</f>
        <v>166480505.6367598</v>
      </c>
    </row>
    <row r="11" spans="1:6" x14ac:dyDescent="0.25">
      <c r="A11" t="s">
        <v>47</v>
      </c>
      <c r="B11" s="18">
        <f>-B6*Assumptions!B10</f>
        <v>-298376151.72163</v>
      </c>
      <c r="C11" s="18">
        <f>-C6*Assumptions!B10</f>
        <v>-358870893.77346003</v>
      </c>
      <c r="D11" s="18">
        <f>-D6*Assumptions!B10</f>
        <v>-431630737.4254063</v>
      </c>
      <c r="E11" s="18">
        <f>-E6*Assumptions!B10</f>
        <v>-519142389.9872094</v>
      </c>
      <c r="F11" s="18">
        <f>-F6*Assumptions!B10</f>
        <v>-624396730.1522588</v>
      </c>
    </row>
    <row r="12" spans="1:6" x14ac:dyDescent="0.25">
      <c r="A12" t="s">
        <v>48</v>
      </c>
      <c r="B12" s="18">
        <f>-(B6-Assumptions!B29)*Assumptions!B11</f>
        <v>-986923582.3808277</v>
      </c>
      <c r="C12" s="18">
        <f>-(C6-B6)*Assumptions!B11</f>
        <v>-1187018955.9437153</v>
      </c>
      <c r="D12" s="18">
        <f>-(D6-C6)*Assumptions!B11</f>
        <v>-1427682980.6525042</v>
      </c>
      <c r="E12" s="18">
        <f>-(E6-D6)*Assumptions!B11</f>
        <v>-1717140811.4745104</v>
      </c>
      <c r="F12" s="18">
        <f>-(F6-E6)*Assumptions!B11</f>
        <v>-2065285225.3542564</v>
      </c>
    </row>
    <row r="13" spans="1:6" x14ac:dyDescent="0.25">
      <c r="A13" s="19" t="s">
        <v>49</v>
      </c>
      <c r="B13" s="20">
        <f>B9+B10+B11+B12</f>
        <v>5321678554.253835</v>
      </c>
      <c r="C13" s="20">
        <f>C9+C10+C11+C12</f>
        <v>6400630640.621282</v>
      </c>
      <c r="D13" s="20">
        <f>D9+D10+D11+D12</f>
        <v>7698336564.299347</v>
      </c>
      <c r="E13" s="20">
        <f>E9+E10+E11+E12</f>
        <v>9259147916.005308</v>
      </c>
      <c r="F13" s="20">
        <f>F9+F10+F11+F12</f>
        <v>11136408419.455513</v>
      </c>
    </row>
    <row r="14" spans="1:6" x14ac:dyDescent="0.25">
      <c r="A14" t="s">
        <v>50</v>
      </c>
      <c r="B14" s="21">
        <f>1/(1+Assumptions!$B$26)^(1-0.5*Assumptions!$B$32)</f>
        <v>0.9454526690213123</v>
      </c>
      <c r="C14" s="21">
        <f>1/(1+Assumptions!$B$26)^(2-0.5*Assumptions!$B$32)</f>
        <v>0.8451219402687318</v>
      </c>
      <c r="D14" s="21">
        <f>1/(1+Assumptions!$B$26)^(3-0.5*Assumptions!$B$32)</f>
        <v>0.7554382332675881</v>
      </c>
      <c r="E14" s="21">
        <f>1/(1+Assumptions!$B$26)^(4-0.5*Assumptions!$B$32)</f>
        <v>0.6752716940480659</v>
      </c>
      <c r="F14" s="21">
        <f>1/(1+Assumptions!$B$26)^(5-0.5*Assumptions!$B$32)</f>
        <v>0.6036123678969597</v>
      </c>
    </row>
    <row r="15" spans="1:6" x14ac:dyDescent="0.25">
      <c r="A15" s="19" t="s">
        <v>51</v>
      </c>
      <c r="B15" s="20">
        <f>B13*B14</f>
        <v>5031395192.792767</v>
      </c>
      <c r="C15" s="20">
        <f>C13*C14</f>
        <v>5409313385.9453535</v>
      </c>
      <c r="D15" s="20">
        <f>D13*D14</f>
        <v>5815617773.233573</v>
      </c>
      <c r="E15" s="20">
        <f>E13*E14</f>
        <v>6252440498.682523</v>
      </c>
      <c r="F15" s="20">
        <f>F13*F14</f>
        <v>6722073855.935181</v>
      </c>
    </row>
    <row r="17" spans="1:2" x14ac:dyDescent="0.25">
      <c r="A17" s="22" t="s">
        <v>52</v>
      </c>
      <c r="B17" s="23">
        <f>SUM(B15:F15)</f>
        <v>29230840706.589397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11136408419.455513</v>
      </c>
    </row>
    <row r="5" spans="1:2" x14ac:dyDescent="0.25">
      <c r="A5" t="s">
        <v>56</v>
      </c>
      <c r="B5" s="18">
        <f>IF(Assumptions!$B$33=0,B4,B4-Forecast!F11-Forecast!F10-Forecast!F12)</f>
        <v>13799866607.25934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0.11781735969124991</v>
      </c>
    </row>
    <row r="7" spans="1:2" x14ac:dyDescent="0.25">
      <c r="A7" t="s">
        <v>58</v>
      </c>
      <c r="B7" s="18">
        <f>-MAX(Forecast!F9,0)*B6</f>
        <v>-1625863847.7587423</v>
      </c>
    </row>
    <row r="8" spans="1:2" x14ac:dyDescent="0.25">
      <c r="A8" t="s">
        <v>59</v>
      </c>
      <c r="B8" s="18">
        <f>IF(OR(Assumptions!$B$33=0,Assumptions!B12&lt;=0),B5,MAX(B5+B7,0))</f>
        <v>12174002759.500599</v>
      </c>
    </row>
    <row r="9" spans="1:2" x14ac:dyDescent="0.25">
      <c r="A9" t="s">
        <v>60</v>
      </c>
      <c r="B9" s="18">
        <f>B8*(1+Assumptions!B12)/(Assumptions!B26-Assumptions!B12)</f>
        <v>133148647508.30998</v>
      </c>
    </row>
    <row r="10" spans="1:2" x14ac:dyDescent="0.25">
      <c r="A10" t="s">
        <v>61</v>
      </c>
      <c r="B10" s="18">
        <f>B9/(1+Assumptions!B26)^(5-0.5*Assumptions!B32)</f>
        <v>80370170404.76862</v>
      </c>
    </row>
    <row r="11" spans="1:2" x14ac:dyDescent="0.25">
      <c r="A11" t="s">
        <v>62</v>
      </c>
      <c r="B11" s="18">
        <f>Forecast!B17+B10</f>
        <v>109601011111.35802</v>
      </c>
    </row>
    <row r="12" spans="1:2" x14ac:dyDescent="0.25">
      <c r="A12" t="s">
        <v>63</v>
      </c>
      <c r="B12" s="18">
        <f>-Assumptions!B30</f>
        <v>-10674924000</v>
      </c>
    </row>
    <row r="13" spans="1:2" x14ac:dyDescent="0.25">
      <c r="A13" t="s">
        <v>64</v>
      </c>
      <c r="B13" s="18">
        <f>B11+B12</f>
        <v>98926087111.35802</v>
      </c>
    </row>
    <row r="14" spans="1:2" x14ac:dyDescent="0.25">
      <c r="A14" s="19" t="s">
        <v>65</v>
      </c>
      <c r="B14" s="24">
        <f>B13/Assumptions!B31</f>
        <v>126.79322824651491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16380024263.620422</v>
      </c>
    </row>
    <row r="18" spans="1:2" x14ac:dyDescent="0.25">
      <c r="A18" t="s">
        <v>60</v>
      </c>
      <c r="B18" s="18">
        <f>B17*Assumptions!B13</f>
        <v>327600485272.40845</v>
      </c>
    </row>
    <row r="19" spans="1:2" x14ac:dyDescent="0.25">
      <c r="A19" t="s">
        <v>61</v>
      </c>
      <c r="B19" s="18">
        <f>B18/(1+Assumptions!B26)^(5-0.5*Assumptions!B32)</f>
        <v>197743704639.47153</v>
      </c>
    </row>
    <row r="20" spans="1:2" x14ac:dyDescent="0.25">
      <c r="A20" t="s">
        <v>62</v>
      </c>
      <c r="B20" s="18">
        <f>Forecast!B17+B19</f>
        <v>226974545346.0609</v>
      </c>
    </row>
    <row r="21" spans="1:2" x14ac:dyDescent="0.25">
      <c r="A21" t="s">
        <v>63</v>
      </c>
      <c r="B21" s="18">
        <f>-Assumptions!B30</f>
        <v>-10674924000</v>
      </c>
    </row>
    <row r="22" spans="1:2" x14ac:dyDescent="0.25">
      <c r="A22" t="s">
        <v>64</v>
      </c>
      <c r="B22" s="18">
        <f>B20+B21</f>
        <v>216299621346.0609</v>
      </c>
    </row>
    <row r="23" spans="1:2" x14ac:dyDescent="0.25">
      <c r="A23" s="19" t="s">
        <v>65</v>
      </c>
      <c r="B23" s="25">
        <f>B22/Assumptions!B31</f>
        <v>277.23048651559435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124.96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126.79322824651491</v>
      </c>
    </row>
    <row r="29" spans="1:2" x14ac:dyDescent="0.25">
      <c r="A29" s="19" t="s">
        <v>73</v>
      </c>
      <c r="B29" s="12">
        <f>B28/B26-1</f>
        <v>0.014670520538691667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0.098717</v>
      </c>
      <c r="B5" s="31">
        <v>156.0891694422923</v>
      </c>
      <c r="C5" s="31">
        <v>161.5240382097503</v>
      </c>
      <c r="D5" s="31">
        <v>167.65915598215804</v>
      </c>
      <c r="E5" s="31">
        <v>174.6473777309819</v>
      </c>
      <c r="F5" s="31">
        <v>182.68953776490304</v>
      </c>
    </row>
    <row r="6" spans="1:6" x14ac:dyDescent="0.25">
      <c r="A6" s="30">
        <v>0.108717</v>
      </c>
      <c r="B6" s="31">
        <v>136.5722394982498</v>
      </c>
      <c r="C6" s="31">
        <v>140.44861910827763</v>
      </c>
      <c r="D6" s="31">
        <v>144.7567434008999</v>
      </c>
      <c r="E6" s="31">
        <v>149.5788839342161</v>
      </c>
      <c r="F6" s="31">
        <v>155.0196331850011</v>
      </c>
    </row>
    <row r="7" spans="1:6" x14ac:dyDescent="0.25">
      <c r="A7" s="30">
        <v>0.118717</v>
      </c>
      <c r="B7" s="31">
        <v>120.87780347545906</v>
      </c>
      <c r="C7" s="31">
        <v>123.69879874189449</v>
      </c>
      <c r="D7" s="32">
        <v>126.79396257629602</v>
      </c>
      <c r="E7" s="31">
        <v>130.20965056462228</v>
      </c>
      <c r="F7" s="31">
        <v>134.00329264713474</v>
      </c>
    </row>
    <row r="8" spans="1:6" x14ac:dyDescent="0.25">
      <c r="A8" s="30">
        <v>0.128717</v>
      </c>
      <c r="B8" s="31">
        <v>107.99474778143814</v>
      </c>
      <c r="C8" s="31">
        <v>110.07844209511451</v>
      </c>
      <c r="D8" s="31">
        <v>112.33973505769902</v>
      </c>
      <c r="E8" s="31">
        <v>114.80561269726819</v>
      </c>
      <c r="F8" s="31">
        <v>117.50882008840578</v>
      </c>
    </row>
    <row r="9" spans="1:6" x14ac:dyDescent="0.25">
      <c r="A9" s="30">
        <v>0.138717</v>
      </c>
      <c r="B9" s="31">
        <v>97.23901664812126</v>
      </c>
      <c r="C9" s="31">
        <v>98.79456897623028</v>
      </c>
      <c r="D9" s="31">
        <v>100.4664859220999</v>
      </c>
      <c r="E9" s="31">
        <v>102.27082264974695</v>
      </c>
      <c r="F9" s="31">
        <v>104.22673027930269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12410012000</v>
      </c>
      <c r="C5" s="18">
        <v>10930540000</v>
      </c>
      <c r="D5" s="18">
        <v>7006649000</v>
      </c>
      <c r="E5" s="18">
        <v>7132632000</v>
      </c>
      <c r="F5" s="8" t="s">
        <v>84</v>
      </c>
    </row>
    <row r="6" spans="1:6" x14ac:dyDescent="0.25">
      <c r="A6" t="s">
        <v>44</v>
      </c>
      <c r="B6" s="18">
        <v>7171646000</v>
      </c>
      <c r="C6" s="18">
        <v>6459480000</v>
      </c>
      <c r="D6" s="18">
        <v>2957714000</v>
      </c>
      <c r="E6" s="18">
        <v>3461789000</v>
      </c>
      <c r="F6" s="8" t="s">
        <v>85</v>
      </c>
    </row>
    <row r="7" spans="1:6" x14ac:dyDescent="0.25">
      <c r="A7" t="s">
        <v>86</v>
      </c>
      <c r="B7" s="18">
        <v>36023000</v>
      </c>
      <c r="C7" s="18">
        <v>35965000</v>
      </c>
      <c r="D7" s="18">
        <v>40075000</v>
      </c>
      <c r="E7" s="18">
        <v>67097000</v>
      </c>
      <c r="F7" s="8" t="s">
        <v>87</v>
      </c>
    </row>
    <row r="8" spans="1:6" x14ac:dyDescent="0.25">
      <c r="A8" t="s">
        <v>88</v>
      </c>
      <c r="B8" s="18">
        <v>115703000</v>
      </c>
      <c r="C8" s="18">
        <v>61409000</v>
      </c>
      <c r="D8" s="18">
        <v>224231000</v>
      </c>
      <c r="E8" s="18">
        <v>235497000</v>
      </c>
      <c r="F8" s="8" t="s">
        <v>89</v>
      </c>
    </row>
    <row r="9" spans="1:6" x14ac:dyDescent="0.25">
      <c r="A9" t="s">
        <v>90</v>
      </c>
      <c r="B9" s="18">
        <v>1737981000</v>
      </c>
      <c r="C9" s="18">
        <v>1539128000</v>
      </c>
      <c r="D9" s="18">
        <v>617751000</v>
      </c>
      <c r="E9" s="18">
        <v>1085148000</v>
      </c>
      <c r="F9" s="8" t="s">
        <v>91</v>
      </c>
    </row>
    <row r="10" spans="1:6" x14ac:dyDescent="0.25">
      <c r="A10" t="s">
        <v>92</v>
      </c>
      <c r="B10" s="18">
        <v>13306165000</v>
      </c>
      <c r="C10" s="18">
        <v>12286698000</v>
      </c>
      <c r="D10" s="18">
        <v>12293882000</v>
      </c>
      <c r="E10" s="18">
        <v>13371038000</v>
      </c>
      <c r="F10" s="8" t="s">
        <v>93</v>
      </c>
    </row>
    <row r="11" spans="1:6" x14ac:dyDescent="0.25">
      <c r="A11" t="s">
        <v>94</v>
      </c>
      <c r="B11" s="18">
        <v>2631241000</v>
      </c>
      <c r="C11" s="18">
        <v>1972140000</v>
      </c>
      <c r="D11" s="18">
        <v>2955866000</v>
      </c>
      <c r="E11" s="18">
        <v>4252003000</v>
      </c>
      <c r="F11" s="8" t="s">
        <v>95</v>
      </c>
    </row>
    <row r="12" spans="1:6" x14ac:dyDescent="0.25">
      <c r="A12" t="s">
        <v>32</v>
      </c>
      <c r="B12" s="34">
        <v>780215856</v>
      </c>
      <c r="C12" s="34">
        <v>766646508</v>
      </c>
      <c r="D12" s="34">
        <v>755419936</v>
      </c>
      <c r="E12" s="34">
        <v>740942399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