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<sst xmlns="http://schemas.openxmlformats.org/spreadsheetml/2006/main" count="115" uniqueCount="103">
  <si>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Brambles Limited (BXB.AX)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</si>
  <si>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</si>
  <si>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</si>
  <si>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</si>
  <si>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</si>
  <si>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</si>
  <si>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</si>
  <si>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</si>
  <si>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</si>
  <si>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</si>
  <si>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</si>
  <si>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</si>
  <si>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</si>
  <si>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</si>
  <si>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</si>
  <si>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</si>
  <si>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</si>
  <si>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</si>
  <si>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</si>
  <si>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</si>
  <si>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</si>
  <si>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</si>
  <si>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</si>
  <si>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</si>
  <si>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</si>
  <si>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</si>
  <si>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</si>
  <si>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</si>
  <si>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</si>
  <si>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</si>
  <si>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</si>
  <si>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</si>
  <si>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</si>
  <si>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</si>
  <si>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</si>
  <si>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</si>
  <si>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</si>
  <si>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</si>
  <si>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</si>
  <si>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</si>
  <si>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</si>
  <si>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</si>
  <si>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</si>
  <si>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</si>
  <si>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</si>
  <si>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</si>
  <si>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</si>
  <si>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</si>
  <si>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</si>
  <si>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</si>
  <si>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</si>
  <si>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</si>
  <si>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</si>
  <si>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</si>
  <si>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</si>
  <si>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</si>
  <si>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</si>
  <si>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</si>
  <si>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</si>
  <si>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</si>
  <si>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</si>
  <si>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</si>
  <si>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</si>
  <si>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</si>
  <si>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</si>
  <si>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</si>
  <si>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</si>
  <si>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</si>
  <si>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</si>
  <si>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</si>
  <si>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</si>
  <si>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</si>
  <si>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</si>
  <si>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</si>
  <si>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</si>
  <si>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</si>
  <si>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</si>
  <si>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</si>
  <si>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</si>
  <si>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</si>
  <si>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</si>
  <si>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</si>
  <si>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</si>
  <si>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</si>
  <si>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</si>
  <si>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</si>
  <si>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</si>
  <si>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</si>
  <si>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</si>
  <si>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</si>
  <si>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</si>
  <si>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</si>
  <si>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</si>
  <si>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</si>
  <si>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</si>
  <si>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</si>
  <si>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</si>
  <si>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</si>
  <si>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</si>
  <si>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Adjusted: Reports in USD, trades in AUD. Modelled in USD, converted at the end.</t>
  </si>
  <si>
    <t>Adjusted: Free cashflow is negative in at least one forecast year, so terminal value carries most of the valuation.</t>
  </si>
  <si>
    <t>Adjusted: Capital expenditure runs at 22.9% of revenue against depreciation of 12.4%.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</si>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</sst>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0.08206716865292107</v>
      </c>
    </row>
    <row r="7" spans="1:2" x14ac:dyDescent="0.25">
      <c r="A7" t="s">
        <v>5</v>
      </c>
      <c r="B7" s="6">
        <v>0.14140022585602063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0.1235016736839188</v>
      </c>
    </row>
    <row r="10" spans="1:2" x14ac:dyDescent="0.25">
      <c r="A10" t="s">
        <v>8</v>
      </c>
      <c r="B10" s="6">
        <v>0.22877747847164992</v>
      </c>
    </row>
    <row r="11" spans="1:2" x14ac:dyDescent="0.25">
      <c r="A11" t="s">
        <v>9</v>
      </c>
      <c r="B11" s="6">
        <v>0.01950183433095192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13.21073208861668</v>
      </c>
    </row>
    <row r="14" spans="1:3" x14ac:dyDescent="0.25">
      <c r="A14" t="s">
        <v>12</v>
      </c>
      <c r="B14" s="6">
        <v>0.12389714245264799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0.63418</v>
      </c>
      <c r="C19" s="8" t="s">
        <v>19</v>
      </c>
    </row>
    <row r="20" spans="1:2" x14ac:dyDescent="0.25">
      <c r="A20" t="s">
        <v>20</v>
      </c>
      <c r="B20" s="10">
        <f>B17+B19*B18</f>
        <v>0.0915308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24657108992</v>
      </c>
    </row>
    <row r="23" spans="1:2" x14ac:dyDescent="0.25">
      <c r="A23" t="s">
        <v>24</v>
      </c>
      <c r="B23" s="11">
        <v>3028800000</v>
      </c>
    </row>
    <row r="24" spans="1:2" x14ac:dyDescent="0.25">
      <c r="A24" t="s">
        <v>25</v>
      </c>
      <c r="B24" s="10">
        <f>B22/(B22+B23)</f>
        <v>0.8906013885664658</v>
      </c>
    </row>
    <row r="25" spans="1:2" x14ac:dyDescent="0.25">
      <c r="A25" t="s">
        <v>26</v>
      </c>
      <c r="B25" s="10">
        <f>1-B24</f>
        <v>0.10939861143353424</v>
      </c>
    </row>
    <row r="26" spans="1:2" x14ac:dyDescent="0.25">
      <c r="A26" t="s">
        <v>27</v>
      </c>
      <c r="B26" s="12">
        <f>B24*B20+B25*B21*(1-B8)</f>
        <v>0.08561290399422525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7042900000</v>
      </c>
      <c r="C29" s="8" t="s">
        <v>30</v>
      </c>
    </row>
    <row r="30" spans="1:2" x14ac:dyDescent="0.25">
      <c r="A30" t="s">
        <v>31</v>
      </c>
      <c r="B30" s="11">
        <v>2952000000</v>
      </c>
    </row>
    <row r="31" spans="1:2" x14ac:dyDescent="0.25">
      <c r="A31" t="s">
        <v>32</v>
      </c>
      <c r="B31" s="13">
        <v>1335699622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0.08206716865292107</v>
      </c>
      <c r="C5" s="10">
        <f>Assumptions!B6</f>
        <v>0.08206716865292107</v>
      </c>
      <c r="D5" s="10">
        <f>Assumptions!B6</f>
        <v>0.08206716865292107</v>
      </c>
      <c r="E5" s="10">
        <f>Assumptions!B6</f>
        <v>0.08206716865292107</v>
      </c>
      <c r="F5" s="10">
        <f>Assumptions!B6</f>
        <v>0.08206716865292107</v>
      </c>
    </row>
    <row r="6" spans="1:6" x14ac:dyDescent="0.25">
      <c r="A6" t="s">
        <v>43</v>
      </c>
      <c r="B6" s="18">
        <f>Assumptions!B29*(1+B5)</f>
        <v>7620890862.105658</v>
      </c>
      <c r="C6" s="18">
        <f>B6*(1+C5)</f>
        <v>8246315797.771587</v>
      </c>
      <c r="D6" s="18">
        <f>C6*(1+D5)</f>
        <v>8923067587.112556</v>
      </c>
      <c r="E6" s="18">
        <f>D6*(1+E5)</f>
        <v>9655358479.685535</v>
      </c>
      <c r="F6" s="18">
        <f>E6*(1+F5)</f>
        <v>10447746412.4423</v>
      </c>
    </row>
    <row r="7" spans="1:6" x14ac:dyDescent="0.25">
      <c r="A7" t="s">
        <v>5</v>
      </c>
      <c r="B7" s="10">
        <f>Assumptions!B7</f>
        <v>0.14140022585602063</v>
      </c>
      <c r="C7" s="10">
        <f>Assumptions!B7</f>
        <v>0.14140022585602063</v>
      </c>
      <c r="D7" s="10">
        <f>Assumptions!B7</f>
        <v>0.14140022585602063</v>
      </c>
      <c r="E7" s="10">
        <f>Assumptions!B7</f>
        <v>0.14140022585602063</v>
      </c>
      <c r="F7" s="10">
        <f>Assumptions!B7</f>
        <v>0.14140022585602063</v>
      </c>
    </row>
    <row r="8" spans="1:6" x14ac:dyDescent="0.25">
      <c r="A8" t="s">
        <v>44</v>
      </c>
      <c r="B8" s="18">
        <f>B6*B7</f>
        <v>1077595689.1258237</v>
      </c>
      <c r="C8" s="18">
        <f>C6*C7</f>
        <v>1166030916.2849734</v>
      </c>
      <c r="D8" s="18">
        <f>D6*D7</f>
        <v>1261723772.1462526</v>
      </c>
      <c r="E8" s="18">
        <f>E6*E7</f>
        <v>1365269869.7483788</v>
      </c>
      <c r="F8" s="18">
        <f>F6*F7</f>
        <v>1477313702.4057705</v>
      </c>
    </row>
    <row r="9" spans="1:6" x14ac:dyDescent="0.25">
      <c r="A9" t="s">
        <v>45</v>
      </c>
      <c r="B9" s="18">
        <f>B8*(1-Assumptions!B8)</f>
        <v>754316982.3880765</v>
      </c>
      <c r="C9" s="18">
        <f>C8*(1-Assumptions!B8)</f>
        <v>816221641.3994813</v>
      </c>
      <c r="D9" s="18">
        <f>D8*(1-Assumptions!B8)</f>
        <v>883206640.5023768</v>
      </c>
      <c r="E9" s="18">
        <f>E8*(1-Assumptions!B8)</f>
        <v>955688908.823865</v>
      </c>
      <c r="F9" s="18">
        <f>F8*(1-Assumptions!B8)</f>
        <v>1034119591.6840394</v>
      </c>
    </row>
    <row r="10" spans="1:6" x14ac:dyDescent="0.25">
      <c r="A10" t="s">
        <v>46</v>
      </c>
      <c r="B10" s="18">
        <f>B6*Assumptions!B9</f>
        <v>941192776.4325316</v>
      </c>
      <c r="C10" s="18">
        <f>C6*Assumptions!B9</f>
        <v>1018433802.7509311</v>
      </c>
      <c r="D10" s="18">
        <f>D6*Assumptions!B9</f>
        <v>1102013781.4031277</v>
      </c>
      <c r="E10" s="18">
        <f>E6*Assumptions!B9</f>
        <v>1192452932.2593813</v>
      </c>
      <c r="F10" s="18">
        <f>F6*Assumptions!B9</f>
        <v>1290314168.1617823</v>
      </c>
    </row>
    <row r="11" spans="1:6" x14ac:dyDescent="0.25">
      <c r="A11" t="s">
        <v>47</v>
      </c>
      <c r="B11" s="18">
        <f>-B6*Assumptions!B10</f>
        <v>-1743488195.1401706</v>
      </c>
      <c r="C11" s="18">
        <f>-C6*Assumptions!B10</f>
        <v>-1886571334.8951159</v>
      </c>
      <c r="D11" s="18">
        <f>-D6*Assumptions!B10</f>
        <v>-2041396902.8117201</v>
      </c>
      <c r="E11" s="18">
        <f>-E6*Assumptions!B10</f>
        <v>-2208928566.72232</v>
      </c>
      <c r="F11" s="18">
        <f>-F6*Assumptions!B10</f>
        <v>-2390209079.949776</v>
      </c>
    </row>
    <row r="12" spans="1:6" x14ac:dyDescent="0.25">
      <c r="A12" t="s">
        <v>48</v>
      </c>
      <c r="B12" s="18">
        <f>-(B6-Assumptions!B29)*Assumptions!B11</f>
        <v>-11271882.037588611</v>
      </c>
      <c r="C12" s="18">
        <f>-(C6-B6)*Assumptions!B11</f>
        <v>-12196933.481803227</v>
      </c>
      <c r="D12" s="18">
        <f>-(D6-C6)*Assumptions!B11</f>
        <v>-13197901.278902853</v>
      </c>
      <c r="E12" s="18">
        <f>-(E6-D6)*Assumptions!B11</f>
        <v>-14281015.669023147</v>
      </c>
      <c r="F12" s="18">
        <f>-(F6-E6)*Assumptions!B11</f>
        <v>-15453018.190467909</v>
      </c>
    </row>
    <row r="13" spans="1:6" x14ac:dyDescent="0.25">
      <c r="A13" s="19" t="s">
        <v>49</v>
      </c>
      <c r="B13" s="20">
        <f>B9+B10+B11+B12</f>
        <v>-59250318.35715105</v>
      </c>
      <c r="C13" s="20">
        <f>C9+C10+C11+C12</f>
        <v>-64112824.22650652</v>
      </c>
      <c r="D13" s="20">
        <f>D9+D10+D11+D12</f>
        <v>-69374382.18511853</v>
      </c>
      <c r="E13" s="20">
        <f>E9+E10+E11+E12</f>
        <v>-75067741.30809699</v>
      </c>
      <c r="F13" s="20">
        <f>F9+F10+F11+F12</f>
        <v>-81228338.2944227</v>
      </c>
    </row>
    <row r="14" spans="1:6" x14ac:dyDescent="0.25">
      <c r="A14" t="s">
        <v>50</v>
      </c>
      <c r="B14" s="21">
        <f>1/(1+Assumptions!$B$26)^(1-0.5*Assumptions!$B$32)</f>
        <v>0.9597596811553041</v>
      </c>
      <c r="C14" s="21">
        <f>1/(1+Assumptions!$B$26)^(2-0.5*Assumptions!$B$32)</f>
        <v>0.8840717327733693</v>
      </c>
      <c r="D14" s="21">
        <f>1/(1+Assumptions!$B$26)^(3-0.5*Assumptions!$B$32)</f>
        <v>0.8143526385147609</v>
      </c>
      <c r="E14" s="21">
        <f>1/(1+Assumptions!$B$26)^(4-0.5*Assumptions!$B$32)</f>
        <v>0.7501316864589266</v>
      </c>
      <c r="F14" s="21">
        <f>1/(1+Assumptions!$B$26)^(5-0.5*Assumptions!$B$32)</f>
        <v>0.690975285664914</v>
      </c>
    </row>
    <row r="15" spans="1:6" x14ac:dyDescent="0.25">
      <c r="A15" s="19" t="s">
        <v>51</v>
      </c>
      <c r="B15" s="20">
        <f>B13*B14</f>
        <v>-56866066.65480955</v>
      </c>
      <c r="C15" s="20">
        <f>C13*C14</f>
        <v>-56680335.60692206</v>
      </c>
      <c r="D15" s="20">
        <f>D13*D14</f>
        <v>-56495211.1777827</v>
      </c>
      <c r="E15" s="20">
        <f>E13*E14</f>
        <v>-56310691.386105224</v>
      </c>
      <c r="F15" s="20">
        <f>F13*F14</f>
        <v>-56126774.257075</v>
      </c>
    </row>
    <row r="17" spans="1:2" x14ac:dyDescent="0.25">
      <c r="A17" s="22" t="s">
        <v>52</v>
      </c>
      <c r="B17" s="23">
        <f>SUM(B15:F15)</f>
        <v>-282479079.08269453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-81228338.2944227</v>
      </c>
    </row>
    <row r="5" spans="1:2" x14ac:dyDescent="0.25">
      <c r="A5" t="s">
        <v>56</v>
      </c>
      <c r="B5" s="18">
        <f>IF(Assumptions!$B$33=0,B4,B4-Forecast!F11-Forecast!F10-Forecast!F12)</f>
        <v>1034119591.6840394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0.20178027923085234</v>
      </c>
    </row>
    <row r="7" spans="1:2" x14ac:dyDescent="0.25">
      <c r="A7" t="s">
        <v>58</v>
      </c>
      <c r="B7" s="18">
        <f>-MAX(Forecast!F9,0)*B6</f>
        <v>-208664939.96810046</v>
      </c>
    </row>
    <row r="8" spans="1:2" x14ac:dyDescent="0.25">
      <c r="A8" t="s">
        <v>59</v>
      </c>
      <c r="B8" s="18">
        <f>IF(OR(Assumptions!$B$33=0,Assumptions!B12&lt;=0),B5,MAX(B5+B7,0))</f>
        <v>825454651.7159389</v>
      </c>
    </row>
    <row r="9" spans="1:2" x14ac:dyDescent="0.25">
      <c r="A9" t="s">
        <v>60</v>
      </c>
      <c r="B9" s="18">
        <f>B8*(1+Assumptions!B12)/(Assumptions!B26-Assumptions!B12)</f>
        <v>13958925612.431417</v>
      </c>
    </row>
    <row r="10" spans="1:2" x14ac:dyDescent="0.25">
      <c r="A10" t="s">
        <v>61</v>
      </c>
      <c r="B10" s="18">
        <f>B9/(1+Assumptions!B26)^(5-0.5*Assumptions!B32)</f>
        <v>9645272612.625082</v>
      </c>
    </row>
    <row r="11" spans="1:2" x14ac:dyDescent="0.25">
      <c r="A11" t="s">
        <v>62</v>
      </c>
      <c r="B11" s="18">
        <f>Forecast!B17+B10</f>
        <v>9362793533.542387</v>
      </c>
    </row>
    <row r="12" spans="1:2" x14ac:dyDescent="0.25">
      <c r="A12" t="s">
        <v>63</v>
      </c>
      <c r="B12" s="18">
        <f>-Assumptions!B30</f>
        <v>-2952000000</v>
      </c>
    </row>
    <row r="13" spans="1:2" x14ac:dyDescent="0.25">
      <c r="A13" t="s">
        <v>64</v>
      </c>
      <c r="B13" s="18">
        <f>B11+B12</f>
        <v>6410793533.542387</v>
      </c>
    </row>
    <row r="14" spans="1:2" x14ac:dyDescent="0.25">
      <c r="A14" s="19" t="s">
        <v>65</v>
      </c>
      <c r="B14" s="24">
        <f>B13/Assumptions!B31</f>
        <v>4.7995772611983165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2767627870.5675526</v>
      </c>
    </row>
    <row r="18" spans="1:2" x14ac:dyDescent="0.25">
      <c r="A18" t="s">
        <v>60</v>
      </c>
      <c r="B18" s="18">
        <f>B17*Assumptions!B13</f>
        <v>36562390319.05662</v>
      </c>
    </row>
    <row r="19" spans="1:2" x14ac:dyDescent="0.25">
      <c r="A19" t="s">
        <v>61</v>
      </c>
      <c r="B19" s="18">
        <f>B18/(1+Assumptions!B26)^(5-0.5*Assumptions!B32)</f>
        <v>25263708095.30223</v>
      </c>
    </row>
    <row r="20" spans="1:2" x14ac:dyDescent="0.25">
      <c r="A20" t="s">
        <v>62</v>
      </c>
      <c r="B20" s="18">
        <f>Forecast!B17+B19</f>
        <v>24981229016.219536</v>
      </c>
    </row>
    <row r="21" spans="1:2" x14ac:dyDescent="0.25">
      <c r="A21" t="s">
        <v>63</v>
      </c>
      <c r="B21" s="18">
        <f>-Assumptions!B30</f>
        <v>-2952000000</v>
      </c>
    </row>
    <row r="22" spans="1:2" x14ac:dyDescent="0.25">
      <c r="A22" t="s">
        <v>64</v>
      </c>
      <c r="B22" s="18">
        <f>B20+B21</f>
        <v>22029229016.219536</v>
      </c>
    </row>
    <row r="23" spans="1:2" x14ac:dyDescent="0.25">
      <c r="A23" s="19" t="s">
        <v>65</v>
      </c>
      <c r="B23" s="25">
        <f>B22/Assumptions!B31</f>
        <v>16.492651980565984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18.53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6.739566390174676</v>
      </c>
    </row>
    <row r="29" spans="1:2" x14ac:dyDescent="0.25">
      <c r="A29" s="19" t="s">
        <v>73</v>
      </c>
      <c r="B29" s="12">
        <f>B28/B26-1</f>
        <v>-0.6362889158027698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0.065613</v>
      </c>
      <c r="B5" s="31">
        <v>7.82067307285053</v>
      </c>
      <c r="C5" s="31">
        <v>8.47564445917814</v>
      </c>
      <c r="D5" s="31">
        <v>9.28610747498893</v>
      </c>
      <c r="E5" s="31">
        <v>10.317554340602666</v>
      </c>
      <c r="F5" s="31">
        <v>11.678264471530534</v>
      </c>
    </row>
    <row r="6" spans="1:6" x14ac:dyDescent="0.25">
      <c r="A6" s="30">
        <v>0.075613</v>
      </c>
      <c r="B6" s="31">
        <v>5.782010078409023</v>
      </c>
      <c r="C6" s="31">
        <v>6.15128347441741</v>
      </c>
      <c r="D6" s="31">
        <v>6.5890701675353265</v>
      </c>
      <c r="E6" s="31">
        <v>7.117901003281441</v>
      </c>
      <c r="F6" s="31">
        <v>7.771402213143769</v>
      </c>
    </row>
    <row r="7" spans="1:6" x14ac:dyDescent="0.25">
      <c r="A7" s="30">
        <v>0.085613</v>
      </c>
      <c r="B7" s="31">
        <v>4.337102646155182</v>
      </c>
      <c r="C7" s="31">
        <v>4.552357240968525</v>
      </c>
      <c r="D7" s="32">
        <v>4.799562996480496</v>
      </c>
      <c r="E7" s="31">
        <v>5.08733781516857</v>
      </c>
      <c r="F7" s="31">
        <v>5.427705010166549</v>
      </c>
    </row>
    <row r="8" spans="1:6" x14ac:dyDescent="0.25">
      <c r="A8" s="30">
        <v>0.095613</v>
      </c>
      <c r="B8" s="31">
        <v>3.264149336325079</v>
      </c>
      <c r="C8" s="31">
        <v>3.3901859771387395</v>
      </c>
      <c r="D8" s="31">
        <v>3.531137758794422</v>
      </c>
      <c r="E8" s="31">
        <v>3.69041447984776</v>
      </c>
      <c r="F8" s="31">
        <v>3.8725510435532415</v>
      </c>
    </row>
    <row r="9" spans="1:6" x14ac:dyDescent="0.25">
      <c r="A9" s="30">
        <v>0.105613</v>
      </c>
      <c r="B9" s="31">
        <v>2.439309950755073</v>
      </c>
      <c r="C9" s="31">
        <v>2.511017163635907</v>
      </c>
      <c r="D9" s="31">
        <v>2.5891527187106953</v>
      </c>
      <c r="E9" s="31">
        <v>2.6749918614122254</v>
      </c>
      <c r="F9" s="31">
        <v>2.77017102999409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7042900000</v>
      </c>
      <c r="C5" s="18">
        <v>6545400000</v>
      </c>
      <c r="D5" s="18">
        <v>6076800000</v>
      </c>
      <c r="E5" s="18">
        <v>5558900000</v>
      </c>
      <c r="F5" s="8" t="s">
        <v>84</v>
      </c>
    </row>
    <row r="6" spans="1:6" x14ac:dyDescent="0.25">
      <c r="A6" t="s">
        <v>44</v>
      </c>
      <c r="B6" s="18">
        <v>1196400000</v>
      </c>
      <c r="C6" s="18">
        <v>1002300000</v>
      </c>
      <c r="D6" s="18">
        <v>771200000</v>
      </c>
      <c r="E6" s="18">
        <v>643100000</v>
      </c>
      <c r="F6" s="8" t="s">
        <v>85</v>
      </c>
    </row>
    <row r="7" spans="1:6" x14ac:dyDescent="0.25">
      <c r="A7" t="s">
        <v>86</v>
      </c>
      <c r="B7" s="18">
        <v>893500000</v>
      </c>
      <c r="C7" s="18">
        <v>802000000</v>
      </c>
      <c r="D7" s="18">
        <v>730100000</v>
      </c>
      <c r="E7" s="18">
        <v>691900000</v>
      </c>
      <c r="F7" s="8" t="s">
        <v>87</v>
      </c>
    </row>
    <row r="8" spans="1:6" x14ac:dyDescent="0.25">
      <c r="A8" t="s">
        <v>88</v>
      </c>
      <c r="B8" s="18">
        <v>1137800000</v>
      </c>
      <c r="C8" s="18">
        <v>1149100000</v>
      </c>
      <c r="D8" s="18">
        <v>1684500000</v>
      </c>
      <c r="E8" s="18">
        <v>1672100000</v>
      </c>
      <c r="F8" s="8" t="s">
        <v>89</v>
      </c>
    </row>
    <row r="9" spans="1:6" x14ac:dyDescent="0.25">
      <c r="A9" t="s">
        <v>90</v>
      </c>
      <c r="B9" s="18">
        <v>0</v>
      </c>
      <c r="C9" s="18">
        <v>44500000</v>
      </c>
      <c r="D9" s="18">
        <v>10100000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3028800000</v>
      </c>
      <c r="C10" s="18">
        <v>2641000000</v>
      </c>
      <c r="D10" s="18">
        <v>2884300000</v>
      </c>
      <c r="E10" s="18">
        <v>2875500000</v>
      </c>
      <c r="F10" s="8" t="s">
        <v>93</v>
      </c>
    </row>
    <row r="11" spans="1:6" x14ac:dyDescent="0.25">
      <c r="A11" t="s">
        <v>94</v>
      </c>
      <c r="B11" s="18">
        <v>76800000</v>
      </c>
      <c r="C11" s="18">
        <v>112900000</v>
      </c>
      <c r="D11" s="18">
        <v>160700000</v>
      </c>
      <c r="E11" s="18">
        <v>158200000</v>
      </c>
      <c r="F11" s="8" t="s">
        <v>95</v>
      </c>
    </row>
    <row r="12" spans="1:6" x14ac:dyDescent="0.25">
      <c r="A12" t="s">
        <v>32</v>
      </c>
      <c r="B12" s="34">
        <v>1335699622</v>
      </c>
      <c r="C12" s="34">
        <v>1397670251</v>
      </c>
      <c r="D12" s="34">
        <v>1395436508</v>
      </c>
      <c r="E12" s="34">
        <v>1422781775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54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2026-09-19T01:05:21Z</dcterms:modified>
</cp:coreProperties>
</file>