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<sst xmlns="http://schemas.openxmlformats.org/spreadsheetml/2006/main" count="121" uniqueCount="108">
  <si>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BXP, Inc. (BXP)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</si>
  <si>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</si>
  <si>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</si>
  <si>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</si>
  <si>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</si>
  <si>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</si>
  <si>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</si>
  <si>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</si>
  <si>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</si>
  <si>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</si>
  <si>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</si>
  <si>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</si>
  <si>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</si>
  <si>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</si>
  <si>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</si>
  <si>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</si>
  <si>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</si>
  <si>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</si>
  <si>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</si>
  <si>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</si>
  <si>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</si>
  <si>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</si>
  <si>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</si>
  <si>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</si>
  <si>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1.6x interest cover, capped at 200bp because one year's cover is too noisy to charge more.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</si>
  <si>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</si>
  <si>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</si>
  <si>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</si>
  <si>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</si>
  <si>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</si>
  <si>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</si>
  <si>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</si>
  <si>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</si>
  <si>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</si>
  <si>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</si>
  <si>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</si>
  <si>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</si>
  <si>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</si>
  <si>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</si>
  <si>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</si>
  <si>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</si>
  <si>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</si>
  <si>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</si>
  <si>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</si>
  <si>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</si>
  <si>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</si>
  <si>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</si>
  <si>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</si>
  <si>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</si>
  <si>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</si>
  <si>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</si>
  <si>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</si>
  <si>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</si>
  <si>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</si>
  <si>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</si>
  <si>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</si>
  <si>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</si>
  <si>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</si>
  <si>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</si>
  <si>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</si>
  <si>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</si>
  <si>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</si>
  <si>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</si>
  <si>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</si>
  <si>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</si>
  <si>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</si>
  <si>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</si>
  <si>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</si>
  <si>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</si>
  <si>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</si>
  <si>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</si>
  <si>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</si>
  <si>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</si>
  <si>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</si>
  <si>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</si>
  <si>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</si>
  <si>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</si>
  <si>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</si>
  <si>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</si>
  <si>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</si>
  <si>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</si>
  <si>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</si>
  <si>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</si>
  <si>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</si>
  <si>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</si>
  <si>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</si>
  <si>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</si>
  <si>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</si>
  <si>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</si>
  <si>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</si>
  <si>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</si>
  <si>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</si>
  <si>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</si>
  <si>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</si>
  <si>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</si>
  <si>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</si>
  <si>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</si>
  <si>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</si>
  <si>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</si>
  <si>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</si>
  <si>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</si>
  <si>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</si>
  <si>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</si>
  <si>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</si>
  <si>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</si>
  <si>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5.3%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</si>
  <si>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just 0.00% of revenue, which is too low to be the company's real investment - property trusts and similar structures invest through lines that are not reported as capex. Capex has been set to 25.48%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</si>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</sst>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0.033223251209911764</v>
      </c>
    </row>
    <row r="7" spans="1:2" x14ac:dyDescent="0.25">
      <c r="A7" t="s">
        <v>4</v>
      </c>
      <c r="B7" s="5">
        <v>0.3124783340570818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0.25484316679242675</v>
      </c>
    </row>
    <row r="10" spans="1:3" x14ac:dyDescent="0.25">
      <c r="A10" t="s">
        <v>7</v>
      </c>
      <c r="B10" s="5">
        <v>0.25484316679242675</v>
      </c>
      <c r="C10" s="6" t="s">
        <v>8</v>
      </c>
    </row>
    <row r="11" spans="1:2" x14ac:dyDescent="0.25">
      <c r="A11" t="s">
        <v>9</v>
      </c>
      <c r="B11" s="5">
        <v>-0.10537726355526003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14.200849484326334</v>
      </c>
    </row>
    <row r="14" spans="1:3" x14ac:dyDescent="0.25">
      <c r="A14" t="s">
        <v>12</v>
      </c>
      <c r="B14" s="5">
        <v>0.07832491511983988</v>
      </c>
      <c r="C14" s="6" t="s">
        <v>13</v>
      </c>
    </row>
    <row r="15" spans="1:3" x14ac:dyDescent="0.25">
      <c r="A15" t="s">
        <v>14</v>
      </c>
      <c r="B15" s="5">
        <v>0.25484316679242675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1.03015</v>
      </c>
      <c r="C19" s="6" t="s">
        <v>21</v>
      </c>
    </row>
    <row r="20" spans="1:2" x14ac:dyDescent="0.25">
      <c r="A20" t="s">
        <v>22</v>
      </c>
      <c r="B20" s="9">
        <f>B17+B19*B18</f>
        <v>0.092515345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11480290304</v>
      </c>
    </row>
    <row r="23" spans="1:2" x14ac:dyDescent="0.25">
      <c r="A23" t="s">
        <v>26</v>
      </c>
      <c r="B23" s="10">
        <v>17358735000</v>
      </c>
    </row>
    <row r="24" spans="1:2" x14ac:dyDescent="0.25">
      <c r="A24" t="s">
        <v>27</v>
      </c>
      <c r="B24" s="9">
        <f>B22/(B22+B23)</f>
        <v>0.39808177228540637</v>
      </c>
    </row>
    <row r="25" spans="1:2" x14ac:dyDescent="0.25">
      <c r="A25" t="s">
        <v>28</v>
      </c>
      <c r="B25" s="9">
        <f>1-B24</f>
        <v>0.6019182277145936</v>
      </c>
    </row>
    <row r="26" spans="1:2" x14ac:dyDescent="0.25">
      <c r="A26" t="s">
        <v>29</v>
      </c>
      <c r="B26" s="11">
        <f>B24*B20+B25*B21*(1-B8)</f>
        <v>0.07832491511983988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3482279000</v>
      </c>
      <c r="C29" s="6" t="s">
        <v>32</v>
      </c>
    </row>
    <row r="30" spans="1:2" x14ac:dyDescent="0.25">
      <c r="A30" t="s">
        <v>33</v>
      </c>
      <c r="B30" s="10">
        <v>15880529000</v>
      </c>
    </row>
    <row r="31" spans="1:2" x14ac:dyDescent="0.25">
      <c r="A31" t="s">
        <v>34</v>
      </c>
      <c r="B31" s="12">
        <v>158869000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0.033223251209911764</v>
      </c>
      <c r="C5" s="5">
        <v>0.023586308822562962</v>
      </c>
      <c r="D5" s="5">
        <v>0.02376302021974259</v>
      </c>
      <c r="E5" s="5">
        <v>0.02393973161692222</v>
      </c>
      <c r="F5" s="5">
        <v>0.024116443014101853</v>
      </c>
      <c r="G5" s="5">
        <v>0.024293154411281482</v>
      </c>
      <c r="H5" s="5">
        <v>0.02446986580846111</v>
      </c>
      <c r="I5" s="5">
        <v>0.024646577205640743</v>
      </c>
      <c r="J5" s="5">
        <v>0.024823288602820372</v>
      </c>
      <c r="K5" s="5">
        <v>0.025</v>
      </c>
    </row>
    <row r="6" spans="1:11" x14ac:dyDescent="0.25">
      <c r="A6" t="s">
        <v>50</v>
      </c>
      <c r="B6" s="18">
        <f>Assumptions!B29*(1+B5)</f>
        <v>3597971630.0000005</v>
      </c>
      <c r="C6" s="18">
        <f>B6*(1+C5)</f>
        <v>3682834500.000001</v>
      </c>
      <c r="D6" s="18">
        <f>C6*(1+D5)</f>
        <v>3770349770.6894665</v>
      </c>
      <c r="E6" s="18">
        <f>D6*(1+E5)</f>
        <v>3860610932.301697</v>
      </c>
      <c r="F6" s="18">
        <f>E6*(1+F5)</f>
        <v>3953715135.850169</v>
      </c>
      <c r="G6" s="18">
        <f>F6*(1+G5)</f>
        <v>4049763348.143598</v>
      </c>
      <c r="H6" s="18">
        <f>G6*(1+H5)</f>
        <v>4148860513.8286967</v>
      </c>
      <c r="I6" s="18">
        <f>H6*(1+I5)</f>
        <v>4251115724.79821</v>
      </c>
      <c r="J6" s="18">
        <f>I6*(1+J5)</f>
        <v>4356642397.318864</v>
      </c>
      <c r="K6" s="18">
        <f>J6*(1+K5)</f>
        <v>4465558457.251835</v>
      </c>
    </row>
    <row r="7" spans="1:11" x14ac:dyDescent="0.25">
      <c r="A7" t="s">
        <v>4</v>
      </c>
      <c r="B7" s="9">
        <f>Assumptions!B7</f>
        <v>0.3124783340570818</v>
      </c>
      <c r="C7" s="9">
        <f>Assumptions!B7</f>
        <v>0.3124783340570818</v>
      </c>
      <c r="D7" s="9">
        <f>Assumptions!B7</f>
        <v>0.3124783340570818</v>
      </c>
      <c r="E7" s="9">
        <f>Assumptions!B7</f>
        <v>0.3124783340570818</v>
      </c>
      <c r="F7" s="9">
        <f>Assumptions!B7</f>
        <v>0.3124783340570818</v>
      </c>
      <c r="G7" s="9">
        <f>Assumptions!B7</f>
        <v>0.3124783340570818</v>
      </c>
      <c r="H7" s="9">
        <f>Assumptions!B7</f>
        <v>0.3124783340570818</v>
      </c>
      <c r="I7" s="9">
        <f>Assumptions!B7</f>
        <v>0.3124783340570818</v>
      </c>
      <c r="J7" s="9">
        <f>Assumptions!B7</f>
        <v>0.3124783340570818</v>
      </c>
      <c r="K7" s="9">
        <f>Assumptions!B7</f>
        <v>0.3124783340570818</v>
      </c>
    </row>
    <row r="8" spans="1:11" x14ac:dyDescent="0.25">
      <c r="A8" t="s">
        <v>51</v>
      </c>
      <c r="B8" s="18">
        <f>B6*B7</f>
        <v>1124288180.9270432</v>
      </c>
      <c r="C8" s="18">
        <f>C6*C7</f>
        <v>1150805989.167946</v>
      </c>
      <c r="D8" s="18">
        <f>D6*D7</f>
        <v>1178152615.1575449</v>
      </c>
      <c r="E8" s="18">
        <f>E6*E7</f>
        <v>1206357272.5681915</v>
      </c>
      <c r="F8" s="18">
        <f>F6*F7</f>
        <v>1235450318.9867299</v>
      </c>
      <c r="G8" s="18">
        <f>G6*G7</f>
        <v>1265463304.3533413</v>
      </c>
      <c r="H8" s="18">
        <f>H6*H7</f>
        <v>1296429021.5963995</v>
      </c>
      <c r="I8" s="18">
        <f>I6*I7</f>
        <v>1328381559.5688086</v>
      </c>
      <c r="J8" s="18">
        <f>J6*J7</f>
        <v>1361356358.3966496</v>
      </c>
      <c r="K8" s="18">
        <f>K6*K7</f>
        <v>1395390267.3565657</v>
      </c>
    </row>
    <row r="9" spans="1:11" x14ac:dyDescent="0.25">
      <c r="A9" t="s">
        <v>52</v>
      </c>
      <c r="B9" s="18">
        <f>B8*(1-Assumptions!B8)</f>
        <v>1124288180.9270432</v>
      </c>
      <c r="C9" s="18">
        <f>C8*(1-Assumptions!B8)</f>
        <v>1150805989.167946</v>
      </c>
      <c r="D9" s="18">
        <f>D8*(1-Assumptions!B8)</f>
        <v>1178152615.1575449</v>
      </c>
      <c r="E9" s="18">
        <f>E8*(1-Assumptions!B8)</f>
        <v>1206357272.5681915</v>
      </c>
      <c r="F9" s="18">
        <f>F8*(1-Assumptions!B8)</f>
        <v>1235450318.9867299</v>
      </c>
      <c r="G9" s="18">
        <f>G8*(1-Assumptions!B8)</f>
        <v>1265463304.3533413</v>
      </c>
      <c r="H9" s="18">
        <f>H8*(1-Assumptions!B8)</f>
        <v>1296429021.5963995</v>
      </c>
      <c r="I9" s="18">
        <f>I8*(1-Assumptions!B8)</f>
        <v>1328381559.5688086</v>
      </c>
      <c r="J9" s="18">
        <f>J8*(1-Assumptions!B8)</f>
        <v>1361356358.3966496</v>
      </c>
      <c r="K9" s="18">
        <f>K8*(1-Assumptions!B8)</f>
        <v>1395390267.3565657</v>
      </c>
    </row>
    <row r="10" spans="1:11" x14ac:dyDescent="0.25">
      <c r="A10" t="s">
        <v>53</v>
      </c>
      <c r="B10" s="18">
        <f>B6*Assumptions!B9</f>
        <v>916918484.2185097</v>
      </c>
      <c r="C10" s="18">
        <f>C6*Assumptions!B9</f>
        <v>938545206.7524039</v>
      </c>
      <c r="D10" s="18">
        <f>D6*Assumptions!B9</f>
        <v>960847875.4776037</v>
      </c>
      <c r="E10" s="18">
        <f>E6*Assumptions!B9</f>
        <v>983850315.7412274</v>
      </c>
      <c r="F10" s="18">
        <f>F6*Assumptions!B9</f>
        <v>1007577285.8152069</v>
      </c>
      <c r="G10" s="18">
        <f>G6*Assumptions!B9</f>
        <v>1032054516.4008155</v>
      </c>
      <c r="H10" s="18">
        <f>H6*Assumptions!B9</f>
        <v>1057308751.9241599</v>
      </c>
      <c r="I10" s="18">
        <f>I6*Assumptions!B9</f>
        <v>1083367793.7086585</v>
      </c>
      <c r="J10" s="18">
        <f>J6*Assumptions!B9</f>
        <v>1110260545.1148891</v>
      </c>
      <c r="K10" s="18">
        <f>K6*Assumptions!B9</f>
        <v>1138017058.7427611</v>
      </c>
    </row>
    <row r="11" spans="1:11" x14ac:dyDescent="0.25">
      <c r="A11" t="s">
        <v>54</v>
      </c>
      <c r="B11" s="18">
        <f>-B6*B19</f>
        <v>-916918484.2185097</v>
      </c>
      <c r="C11" s="18">
        <f>-C6*C19</f>
        <v>-979358315.8167833</v>
      </c>
      <c r="D11" s="18">
        <f>-D6*D19</f>
        <v>-1044413779.0782176</v>
      </c>
      <c r="E11" s="18">
        <f>-E6*E19</f>
        <v>-1112199989.098935</v>
      </c>
      <c r="F11" s="18">
        <f>-F6*F19</f>
        <v>-1182837300.4033628</v>
      </c>
      <c r="G11" s="18">
        <f>-G6*G19</f>
        <v>-1256451557.8816526</v>
      </c>
      <c r="H11" s="18">
        <f>-H6*H19</f>
        <v>-1333174360.2925863</v>
      </c>
      <c r="I11" s="18">
        <f>-I6*I19</f>
        <v>-1413143336.9893615</v>
      </c>
      <c r="J11" s="18">
        <f>-J6*J19</f>
        <v>-1496502438.561417</v>
      </c>
      <c r="K11" s="18">
        <f>-K6*K19</f>
        <v>-1583402242.1232889</v>
      </c>
    </row>
    <row r="12" spans="1:11" x14ac:dyDescent="0.25">
      <c r="A12" t="s">
        <v>55</v>
      </c>
      <c r="B12" s="18">
        <f>-(B6-Assumptions!B29)*Assumptions!B11</f>
        <v>12191372.762911234</v>
      </c>
      <c r="C12" s="18">
        <f>-(C6-B6)*Assumptions!B11</f>
        <v>8942617.01804582</v>
      </c>
      <c r="D12" s="18">
        <f>-(D6-C6)*Assumptions!B11</f>
        <v>9222119.744553732</v>
      </c>
      <c r="E12" s="18">
        <f>-(E6-D6)*Assumptions!B11</f>
        <v>9511474.216015913</v>
      </c>
      <c r="F12" s="18">
        <f>-(F6-E6)*Assumptions!B11</f>
        <v>9811066.195429953</v>
      </c>
      <c r="G12" s="18">
        <f>-(G6-F6)*Assumptions!B11</f>
        <v>10121297.780856224</v>
      </c>
      <c r="H12" s="18">
        <f>-(H6-G6)*Assumptions!B11</f>
        <v>10442588.14597791</v>
      </c>
      <c r="I12" s="18">
        <f>-(I6-H6)*Assumptions!B11</f>
        <v>10775374.316233132</v>
      </c>
      <c r="J12" s="18">
        <f>-(J6-I6)*Assumptions!B11</f>
        <v>11120111.982318545</v>
      </c>
      <c r="K12" s="18">
        <f>-(K6-J6)*Assumptions!B11</f>
        <v>11477276.352957182</v>
      </c>
    </row>
    <row r="13" spans="1:11" x14ac:dyDescent="0.25">
      <c r="A13" s="19" t="s">
        <v>56</v>
      </c>
      <c r="B13" s="20">
        <f>B9+B10+B11+B12</f>
        <v>1136479553.6899545</v>
      </c>
      <c r="C13" s="20">
        <f>C9+C10+C11+C12</f>
        <v>1118935497.1216125</v>
      </c>
      <c r="D13" s="20">
        <f>D9+D10+D11+D12</f>
        <v>1103808831.3014848</v>
      </c>
      <c r="E13" s="20">
        <f>E9+E10+E11+E12</f>
        <v>1087519073.4264996</v>
      </c>
      <c r="F13" s="20">
        <f>F9+F10+F11+F12</f>
        <v>1070001370.5940038</v>
      </c>
      <c r="G13" s="20">
        <f>G9+G10+G11+G12</f>
        <v>1051187560.6533607</v>
      </c>
      <c r="H13" s="20">
        <f>H9+H10+H11+H12</f>
        <v>1031006001.3739508</v>
      </c>
      <c r="I13" s="20">
        <f>I9+I10+I11+I12</f>
        <v>1009381390.6043384</v>
      </c>
      <c r="J13" s="20">
        <f>J9+J10+J11+J12</f>
        <v>986234576.9324399</v>
      </c>
      <c r="K13" s="20">
        <f>K9+K10+K11+K12</f>
        <v>961482360.3289953</v>
      </c>
    </row>
    <row r="14" spans="1:11" x14ac:dyDescent="0.25">
      <c r="A14" t="s">
        <v>57</v>
      </c>
      <c r="B14" s="21">
        <f>1/(1+Assumptions!$B$26)^(1-0.5*Assumptions!$B$32)</f>
        <v>0.9629975452213815</v>
      </c>
      <c r="C14" s="21">
        <f>1/(1+Assumptions!$B$26)^(2-0.5*Assumptions!$B$32)</f>
        <v>0.8930495175606311</v>
      </c>
      <c r="D14" s="21">
        <f>1/(1+Assumptions!$B$26)^(3-0.5*Assumptions!$B$32)</f>
        <v>0.8281822158040202</v>
      </c>
      <c r="E14" s="21">
        <f>1/(1+Assumptions!$B$26)^(4-0.5*Assumptions!$B$32)</f>
        <v>0.7680265977272536</v>
      </c>
      <c r="F14" s="21">
        <f>1/(1+Assumptions!$B$26)^(5-0.5*Assumptions!$B$32)</f>
        <v>0.7122404267566226</v>
      </c>
      <c r="G14" s="21">
        <f>1/(1+Assumptions!$B$26)^(6-0.5*Assumptions!$B$32)</f>
        <v>0.6605063249210629</v>
      </c>
      <c r="H14" s="21">
        <f>1/(1+Assumptions!$B$26)^(7-0.5*Assumptions!$B$32)</f>
        <v>0.6125299672294573</v>
      </c>
      <c r="I14" s="21">
        <f>1/(1+Assumptions!$B$26)^(8-0.5*Assumptions!$B$32)</f>
        <v>0.5680384072006568</v>
      </c>
      <c r="J14" s="21">
        <f>1/(1+Assumptions!$B$26)^(9-0.5*Assumptions!$B$32)</f>
        <v>0.5267785240198476</v>
      </c>
      <c r="K14" s="21">
        <f>1/(1+Assumptions!$B$26)^(10-0.5*Assumptions!$B$32)</f>
        <v>0.4885155824868462</v>
      </c>
    </row>
    <row r="15" spans="1:11" x14ac:dyDescent="0.25">
      <c r="A15" s="19" t="s">
        <v>58</v>
      </c>
      <c r="B15" s="20">
        <f>B13*B14</f>
        <v>1094427020.3977175</v>
      </c>
      <c r="C15" s="20">
        <f>C13*C14</f>
        <v>999264805.885921</v>
      </c>
      <c r="D15" s="20">
        <f>D13*D14</f>
        <v>914154843.7313097</v>
      </c>
      <c r="E15" s="20">
        <f>E13*E14</f>
        <v>835243573.9272498</v>
      </c>
      <c r="F15" s="20">
        <f>F13*F14</f>
        <v>762098232.8220444</v>
      </c>
      <c r="G15" s="20">
        <f>G13*G14</f>
        <v>694316032.4898882</v>
      </c>
      <c r="H15" s="20">
        <f>H13*H14</f>
        <v>631522072.23496</v>
      </c>
      <c r="I15" s="20">
        <f>I13*I14</f>
        <v>573367397.3768724</v>
      </c>
      <c r="J15" s="20">
        <f>J13*J14</f>
        <v>519527194.77380955</v>
      </c>
      <c r="K15" s="20">
        <f>K13*K14</f>
        <v>469699115.3069469</v>
      </c>
    </row>
    <row r="17" spans="1:2" x14ac:dyDescent="0.25">
      <c r="A17" s="22" t="s">
        <v>59</v>
      </c>
      <c r="B17" s="23">
        <f>SUM(B15:K15)</f>
        <v>7493620288.946718</v>
      </c>
    </row>
    <row r="19" spans="1:11" x14ac:dyDescent="0.25">
      <c r="A19" t="s">
        <v>7</v>
      </c>
      <c r="B19" s="9">
        <f>Assumptions!$B$10+($B$20-Assumptions!$B$10)*0/9</f>
        <v>0.25484316679242675</v>
      </c>
      <c r="C19" s="9">
        <f>Assumptions!$B$10+($B$20-Assumptions!$B$10)*1/9</f>
        <v>0.26592514972279724</v>
      </c>
      <c r="D19" s="9">
        <f>Assumptions!$B$10+($B$20-Assumptions!$B$10)*2/9</f>
        <v>0.27700713265316773</v>
      </c>
      <c r="E19" s="9">
        <f>Assumptions!$B$10+($B$20-Assumptions!$B$10)*3/9</f>
        <v>0.2880891155835382</v>
      </c>
      <c r="F19" s="9">
        <f>Assumptions!$B$10+($B$20-Assumptions!$B$10)*4/9</f>
        <v>0.29917109851390866</v>
      </c>
      <c r="G19" s="9">
        <f>Assumptions!$B$10+($B$20-Assumptions!$B$10)*5/9</f>
        <v>0.3102530814442792</v>
      </c>
      <c r="H19" s="9">
        <f>Assumptions!$B$10+($B$20-Assumptions!$B$10)*6/9</f>
        <v>0.32133506437464965</v>
      </c>
      <c r="I19" s="9">
        <f>Assumptions!$B$10+($B$20-Assumptions!$B$10)*7/9</f>
        <v>0.33241704730502014</v>
      </c>
      <c r="J19" s="9">
        <f>Assumptions!$B$10+($B$20-Assumptions!$B$10)*8/9</f>
        <v>0.34349903023539063</v>
      </c>
      <c r="K19" s="9">
        <f>Assumptions!$B$10+($B$20-Assumptions!$B$10)*9/9</f>
        <v>0.3545810131657611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0.3545810131657611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961482360.3289953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1395390267.3565657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0.3191832376932566</v>
      </c>
    </row>
    <row r="7" spans="1:2" x14ac:dyDescent="0.25">
      <c r="A7" t="s">
        <v>66</v>
      </c>
      <c r="B7" s="18">
        <f>-MAX(B5,0)*B6</f>
        <v>-445385183.3805276</v>
      </c>
    </row>
    <row r="8" spans="1:2" x14ac:dyDescent="0.25">
      <c r="A8" t="s">
        <v>67</v>
      </c>
      <c r="B8" s="18">
        <f>IF(OR(Assumptions!$B$33=0,Assumptions!B12&lt;=0),B5,MAX(B5+B7,0))</f>
        <v>950005083.9760381</v>
      </c>
    </row>
    <row r="9" spans="1:2" x14ac:dyDescent="0.25">
      <c r="A9" t="s">
        <v>68</v>
      </c>
      <c r="B9" s="18">
        <f>B8*(1+Assumptions!B12)/(Assumptions!B26-Assumptions!B12)</f>
        <v>18260792518.601627</v>
      </c>
    </row>
    <row r="10" spans="1:2" x14ac:dyDescent="0.25">
      <c r="A10" t="s">
        <v>69</v>
      </c>
      <c r="B10" s="18">
        <f>B9/(1+Assumptions!B26)^(10-0.5*Assumptions!B32)</f>
        <v>8920681693.896116</v>
      </c>
    </row>
    <row r="11" spans="1:2" x14ac:dyDescent="0.25">
      <c r="A11" t="s">
        <v>70</v>
      </c>
      <c r="B11" s="18">
        <f>Forecast!B17+B10</f>
        <v>16414301982.842834</v>
      </c>
    </row>
    <row r="12" spans="1:2" x14ac:dyDescent="0.25">
      <c r="A12" t="s">
        <v>71</v>
      </c>
      <c r="B12" s="18">
        <f>-Assumptions!B30</f>
        <v>-15880529000</v>
      </c>
    </row>
    <row r="13" spans="1:2" x14ac:dyDescent="0.25">
      <c r="A13" t="s">
        <v>72</v>
      </c>
      <c r="B13" s="18">
        <f>B11+B12</f>
        <v>533772982.8428345</v>
      </c>
    </row>
    <row r="14" spans="1:2" x14ac:dyDescent="0.25">
      <c r="A14" s="19" t="s">
        <v>73</v>
      </c>
      <c r="B14" s="24">
        <f>B13/Assumptions!B31</f>
        <v>3.3598309477798343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2533407326.099327</v>
      </c>
    </row>
    <row r="18" spans="1:2" x14ac:dyDescent="0.25">
      <c r="A18" t="s">
        <v>68</v>
      </c>
      <c r="B18" s="18">
        <f>B17*Assumptions!B13</f>
        <v>35976536120.426186</v>
      </c>
    </row>
    <row r="19" spans="1:2" x14ac:dyDescent="0.25">
      <c r="A19" t="s">
        <v>69</v>
      </c>
      <c r="B19" s="18">
        <f>B18/(1+Assumptions!B26)^(10-0.5*Assumptions!B32)</f>
        <v>17575098498.72906</v>
      </c>
    </row>
    <row r="20" spans="1:2" x14ac:dyDescent="0.25">
      <c r="A20" t="s">
        <v>70</v>
      </c>
      <c r="B20" s="18">
        <f>Forecast!B17+B19</f>
        <v>25068718787.67578</v>
      </c>
    </row>
    <row r="21" spans="1:2" x14ac:dyDescent="0.25">
      <c r="A21" t="s">
        <v>71</v>
      </c>
      <c r="B21" s="18">
        <f>-Assumptions!B30</f>
        <v>-15880529000</v>
      </c>
    </row>
    <row r="22" spans="1:2" x14ac:dyDescent="0.25">
      <c r="A22" t="s">
        <v>72</v>
      </c>
      <c r="B22" s="18">
        <f>B20+B21</f>
        <v>9188189787.675781</v>
      </c>
    </row>
    <row r="23" spans="1:2" x14ac:dyDescent="0.25">
      <c r="A23" s="19" t="s">
        <v>73</v>
      </c>
      <c r="B23" s="25">
        <f>B22/Assumptions!B31</f>
        <v>57.835007381400914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63.47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3.3598309477798343</v>
      </c>
    </row>
    <row r="29" spans="1:2" x14ac:dyDescent="0.25">
      <c r="A29" s="19" t="s">
        <v>81</v>
      </c>
      <c r="B29" s="11">
        <f>B28/B26-1</f>
        <v>-0.947064267405391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0.058325</v>
      </c>
      <c r="B5" s="31">
        <v>42.11906758950837</v>
      </c>
      <c r="C5" s="31">
        <v>40.15745822107763</v>
      </c>
      <c r="D5" s="31">
        <v>38.19584885264684</v>
      </c>
      <c r="E5" s="31">
        <v>36.23423948421615</v>
      </c>
      <c r="F5" s="31">
        <v>34.27263011578536</v>
      </c>
    </row>
    <row r="6" spans="1:6" x14ac:dyDescent="0.25">
      <c r="A6" s="30">
        <v>0.068325</v>
      </c>
      <c r="B6" s="31">
        <v>21.388908238129936</v>
      </c>
      <c r="C6" s="31">
        <v>19.806547503202065</v>
      </c>
      <c r="D6" s="31">
        <v>18.224186768274173</v>
      </c>
      <c r="E6" s="31">
        <v>16.641826033346327</v>
      </c>
      <c r="F6" s="31">
        <v>15.05946529841841</v>
      </c>
    </row>
    <row r="7" spans="1:6" x14ac:dyDescent="0.25">
      <c r="A7" s="30">
        <v>0.078325</v>
      </c>
      <c r="B7" s="31">
        <v>5.9707734664865875</v>
      </c>
      <c r="C7" s="31">
        <v>4.665247191684916</v>
      </c>
      <c r="D7" s="32">
        <v>3.3597209168832323</v>
      </c>
      <c r="E7" s="31">
        <v>2.0541946420815727</v>
      </c>
      <c r="F7" s="31">
        <v>0.7486683672798651</v>
      </c>
    </row>
    <row r="8" spans="1:6" x14ac:dyDescent="0.25">
      <c r="A8" s="30">
        <v>0.088325</v>
      </c>
      <c r="B8" s="31">
        <v>-5.940794905159019</v>
      </c>
      <c r="C8" s="31">
        <v>-7.03671560150301</v>
      </c>
      <c r="D8" s="31">
        <v>-8.132636297847013</v>
      </c>
      <c r="E8" s="31">
        <v>-9.228556994191013</v>
      </c>
      <c r="F8" s="31">
        <v>-10.324477690535028</v>
      </c>
    </row>
    <row r="9" spans="1:6" x14ac:dyDescent="0.25">
      <c r="A9" s="30">
        <v>0.098325</v>
      </c>
      <c r="B9" s="31">
        <v>-15.416684223966111</v>
      </c>
      <c r="C9" s="31">
        <v>-16.349389518311778</v>
      </c>
      <c r="D9" s="31">
        <v>-17.282094812657473</v>
      </c>
      <c r="E9" s="31">
        <v>-18.21480010700313</v>
      </c>
      <c r="F9" s="31">
        <v>-19.14750540134881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3482279000</v>
      </c>
      <c r="C5" s="18">
        <v>3407719000</v>
      </c>
      <c r="D5" s="18">
        <v>3273569000</v>
      </c>
      <c r="E5" s="18">
        <v>3108581000</v>
      </c>
      <c r="F5" s="6" t="s">
        <v>91</v>
      </c>
    </row>
    <row r="6" spans="1:6" x14ac:dyDescent="0.25">
      <c r="A6" t="s">
        <v>51</v>
      </c>
      <c r="B6" s="18">
        <v>1014351000</v>
      </c>
      <c r="C6" s="18">
        <v>1021931000</v>
      </c>
      <c r="D6" s="18">
        <v>1038655000</v>
      </c>
      <c r="E6" s="18">
        <v>1061430000</v>
      </c>
      <c r="F6" s="6" t="s">
        <v>92</v>
      </c>
    </row>
    <row r="7" spans="1:6" x14ac:dyDescent="0.25">
      <c r="A7" t="s">
        <v>93</v>
      </c>
      <c r="B7" s="18">
        <v>912352000</v>
      </c>
      <c r="C7" s="18">
        <v>889453000</v>
      </c>
      <c r="D7" s="18">
        <v>832753000</v>
      </c>
      <c r="E7" s="18">
        <v>752202000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194397000</v>
      </c>
      <c r="C9" s="18">
        <v>204407000</v>
      </c>
      <c r="D9" s="18">
        <v>162899000</v>
      </c>
      <c r="E9" s="18">
        <v>207589000</v>
      </c>
      <c r="F9" s="6" t="s">
        <v>98</v>
      </c>
    </row>
    <row r="10" spans="1:6" x14ac:dyDescent="0.25">
      <c r="A10" t="s">
        <v>99</v>
      </c>
      <c r="B10" s="18">
        <v>17358735000</v>
      </c>
      <c r="C10" s="18">
        <v>16984070000</v>
      </c>
      <c r="D10" s="18">
        <v>16624649000</v>
      </c>
      <c r="E10" s="18">
        <v>14694357000</v>
      </c>
      <c r="F10" s="6" t="s">
        <v>100</v>
      </c>
    </row>
    <row r="11" spans="1:6" x14ac:dyDescent="0.25">
      <c r="A11" t="s">
        <v>101</v>
      </c>
      <c r="B11" s="18">
        <v>1478206000</v>
      </c>
      <c r="C11" s="18">
        <v>1254882000</v>
      </c>
      <c r="D11" s="18">
        <v>1531477000</v>
      </c>
      <c r="E11" s="18">
        <v>690333000</v>
      </c>
      <c r="F11" s="6" t="s">
        <v>102</v>
      </c>
    </row>
    <row r="12" spans="1:6" x14ac:dyDescent="0.25">
      <c r="A12" t="s">
        <v>34</v>
      </c>
      <c r="B12" s="34">
        <v>158869000</v>
      </c>
      <c r="C12" s="34">
        <v>157793000</v>
      </c>
      <c r="D12" s="34">
        <v>157201500</v>
      </c>
      <c r="E12" s="34">
        <v>157136000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