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<sst xmlns="http://schemas.openxmlformats.org/spreadsheetml/2006/main" count="112" uniqueCount="100">
  <si>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BXP, Inc. (BXP)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</si>
  <si>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</si>
  <si>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</si>
  <si>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</si>
  <si>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</si>
  <si>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</si>
  <si>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</si>
  <si>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</si>
  <si>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</si>
  <si>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</si>
  <si>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</si>
  <si>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</si>
  <si>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</si>
  <si>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</si>
  <si>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</si>
  <si>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</si>
  <si>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</si>
  <si>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</si>
  <si>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</si>
  <si>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</si>
  <si>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</si>
  <si>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</si>
  <si>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</si>
  <si>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</si>
  <si>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</si>
  <si>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</si>
  <si>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</si>
  <si>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</si>
  <si>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</si>
  <si>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</si>
  <si>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</si>
  <si>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</si>
  <si>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</si>
  <si>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</si>
  <si>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</si>
  <si>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</si>
  <si>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</si>
  <si>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</si>
  <si>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</si>
  <si>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</si>
  <si>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</si>
  <si>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</si>
  <si>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</si>
  <si>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</si>
  <si>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</si>
  <si>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</si>
  <si>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</si>
  <si>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</si>
  <si>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</si>
  <si>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</si>
  <si>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</si>
  <si>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</si>
  <si>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</si>
  <si>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</si>
  <si>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</si>
  <si>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</si>
  <si>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</si>
  <si>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</si>
  <si>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</si>
  <si>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</si>
  <si>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</si>
  <si>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</si>
  <si>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</si>
  <si>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</si>
  <si>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</si>
  <si>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</si>
  <si>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</si>
  <si>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</si>
  <si>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</si>
  <si>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</si>
  <si>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</si>
  <si>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</si>
  <si>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</si>
  <si>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</si>
  <si>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</si>
  <si>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</si>
  <si>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</si>
  <si>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</si>
  <si>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</si>
  <si>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</si>
  <si>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</si>
  <si>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</si>
  <si>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</si>
  <si>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</si>
  <si>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</si>
  <si>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</si>
  <si>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</si>
  <si>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</si>
  <si>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</si>
  <si>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</si>
  <si>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</si>
  <si>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</si>
  <si>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</si>
  <si>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</si>
  <si>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</si>
  <si>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</si>
  <si>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</si>
  <si>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</si>
  <si>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25.48%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</si>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</sst>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0.03856526122650683</v>
      </c>
    </row>
    <row r="7" spans="1:2" x14ac:dyDescent="0.25">
      <c r="A7" t="s">
        <v>5</v>
      </c>
      <c r="B7" s="6">
        <v>0.3124783340570818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0.25484316679242675</v>
      </c>
    </row>
    <row r="10" spans="1:2" x14ac:dyDescent="0.25">
      <c r="A10" t="s">
        <v>8</v>
      </c>
      <c r="B10" s="6">
        <v>0.25484316679242675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14.172685409219792</v>
      </c>
    </row>
    <row r="14" spans="1:3" x14ac:dyDescent="0.25">
      <c r="A14" t="s">
        <v>12</v>
      </c>
      <c r="B14" s="6">
        <v>0.07229479586480925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1.02211</v>
      </c>
      <c r="C19" s="8" t="s">
        <v>19</v>
      </c>
    </row>
    <row r="20" spans="1:2" x14ac:dyDescent="0.25">
      <c r="A20" t="s">
        <v>20</v>
      </c>
      <c r="B20" s="10">
        <f>B17+B19*B18</f>
        <v>0.10619605000000001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11426026496</v>
      </c>
    </row>
    <row r="23" spans="1:2" x14ac:dyDescent="0.25">
      <c r="A23" t="s">
        <v>24</v>
      </c>
      <c r="B23" s="11">
        <v>17358735000</v>
      </c>
    </row>
    <row r="24" spans="1:2" x14ac:dyDescent="0.25">
      <c r="A24" t="s">
        <v>25</v>
      </c>
      <c r="B24" s="10">
        <f>B22/(B22+B23)</f>
        <v>0.3969470616453705</v>
      </c>
    </row>
    <row r="25" spans="1:2" x14ac:dyDescent="0.25">
      <c r="A25" t="s">
        <v>26</v>
      </c>
      <c r="B25" s="10">
        <f>1-B24</f>
        <v>0.6030529383546295</v>
      </c>
    </row>
    <row r="26" spans="1:2" x14ac:dyDescent="0.25">
      <c r="A26" t="s">
        <v>27</v>
      </c>
      <c r="B26" s="12">
        <f>B24*B20+B25*B21*(1-B8)</f>
        <v>0.07229479586480925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3482279000</v>
      </c>
      <c r="C29" s="8" t="s">
        <v>30</v>
      </c>
    </row>
    <row r="30" spans="1:2" x14ac:dyDescent="0.25">
      <c r="A30" t="s">
        <v>31</v>
      </c>
      <c r="B30" s="11">
        <v>15880529000</v>
      </c>
    </row>
    <row r="31" spans="1:2" x14ac:dyDescent="0.25">
      <c r="A31" t="s">
        <v>32</v>
      </c>
      <c r="B31" s="13">
        <v>158869000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0.03856526122650683</v>
      </c>
      <c r="C5" s="10">
        <f>Assumptions!B6</f>
        <v>0.03856526122650683</v>
      </c>
      <c r="D5" s="10">
        <f>Assumptions!B6</f>
        <v>0.03856526122650683</v>
      </c>
      <c r="E5" s="10">
        <f>Assumptions!B6</f>
        <v>0.03856526122650683</v>
      </c>
      <c r="F5" s="10">
        <f>Assumptions!B6</f>
        <v>0.03856526122650683</v>
      </c>
    </row>
    <row r="6" spans="1:6" x14ac:dyDescent="0.25">
      <c r="A6" t="s">
        <v>43</v>
      </c>
      <c r="B6" s="18">
        <f>Assumptions!B29*(1+B5)</f>
        <v>3616573999.298579</v>
      </c>
      <c r="C6" s="18">
        <f>B6*(1+C5)</f>
        <v>3756048120.3265214</v>
      </c>
      <c r="D6" s="18">
        <f>C6*(1+D5)</f>
        <v>3900901097.2662435</v>
      </c>
      <c r="E6" s="18">
        <f>D6*(1+E5)</f>
        <v>4051340367.1010833</v>
      </c>
      <c r="F6" s="18">
        <f>E6*(1+F5)</f>
        <v>4207581366.6758285</v>
      </c>
    </row>
    <row r="7" spans="1:6" x14ac:dyDescent="0.25">
      <c r="A7" t="s">
        <v>5</v>
      </c>
      <c r="B7" s="10">
        <f>Assumptions!B7</f>
        <v>0.3124783340570818</v>
      </c>
      <c r="C7" s="10">
        <f>Assumptions!B7</f>
        <v>0.3124783340570818</v>
      </c>
      <c r="D7" s="10">
        <f>Assumptions!B7</f>
        <v>0.3124783340570818</v>
      </c>
      <c r="E7" s="10">
        <f>Assumptions!B7</f>
        <v>0.3124783340570818</v>
      </c>
      <c r="F7" s="10">
        <f>Assumptions!B7</f>
        <v>0.3124783340570818</v>
      </c>
    </row>
    <row r="8" spans="1:6" x14ac:dyDescent="0.25">
      <c r="A8" t="s">
        <v>44</v>
      </c>
      <c r="B8" s="18">
        <f>B6*B7</f>
        <v>1130101018.294978</v>
      </c>
      <c r="C8" s="18">
        <f>C6*C7</f>
        <v>1173683659.277865</v>
      </c>
      <c r="D8" s="18">
        <f>D6*D7</f>
        <v>1218947076.1951983</v>
      </c>
      <c r="E8" s="18">
        <f>E6*E7</f>
        <v>1265956088.6099527</v>
      </c>
      <c r="F8" s="18">
        <f>F6*F7</f>
        <v>1314778015.8684824</v>
      </c>
    </row>
    <row r="9" spans="1:6" x14ac:dyDescent="0.25">
      <c r="A9" t="s">
        <v>45</v>
      </c>
      <c r="B9" s="18">
        <f>B8*(1-Assumptions!B8)</f>
        <v>1130101018.294978</v>
      </c>
      <c r="C9" s="18">
        <f>C8*(1-Assumptions!B8)</f>
        <v>1173683659.277865</v>
      </c>
      <c r="D9" s="18">
        <f>D8*(1-Assumptions!B8)</f>
        <v>1218947076.1951983</v>
      </c>
      <c r="E9" s="18">
        <f>E8*(1-Assumptions!B8)</f>
        <v>1265956088.6099527</v>
      </c>
      <c r="F9" s="18">
        <f>F8*(1-Assumptions!B8)</f>
        <v>1314778015.8684824</v>
      </c>
    </row>
    <row r="10" spans="1:6" x14ac:dyDescent="0.25">
      <c r="A10" t="s">
        <v>46</v>
      </c>
      <c r="B10" s="18">
        <f>B6*Assumptions!B9</f>
        <v>921659170.9204017</v>
      </c>
      <c r="C10" s="18">
        <f>C6*Assumptions!B9</f>
        <v>957203197.6087526</v>
      </c>
      <c r="D10" s="18">
        <f>D6*Assumptions!B9</f>
        <v>994117988.9713818</v>
      </c>
      <c r="E10" s="18">
        <f>E6*Assumptions!B9</f>
        <v>1032456408.9060328</v>
      </c>
      <c r="F10" s="18">
        <f>F6*Assumptions!B9</f>
        <v>1072273360.020475</v>
      </c>
    </row>
    <row r="11" spans="1:6" x14ac:dyDescent="0.25">
      <c r="A11" t="s">
        <v>47</v>
      </c>
      <c r="B11" s="18">
        <f>-B6*Assumptions!B10</f>
        <v>-921659170.9204017</v>
      </c>
      <c r="C11" s="18">
        <f>-C6*Assumptions!B10</f>
        <v>-957203197.6087526</v>
      </c>
      <c r="D11" s="18">
        <f>-D6*Assumptions!B10</f>
        <v>-994117988.9713818</v>
      </c>
      <c r="E11" s="18">
        <f>-E6*Assumptions!B10</f>
        <v>-1032456408.9060328</v>
      </c>
      <c r="F11" s="18">
        <f>-F6*Assumptions!B10</f>
        <v>-1072273360.020475</v>
      </c>
    </row>
    <row r="12" spans="1:6" x14ac:dyDescent="0.25">
      <c r="A12" t="s">
        <v>48</v>
      </c>
      <c r="B12" s="18">
        <f>-(B6-Assumptions!B29)*Assumptions!B11</f>
        <v>-134294999.29857922</v>
      </c>
      <c r="C12" s="18">
        <f>-(C6-B6)*Assumptions!B11</f>
        <v>-139474121.02794218</v>
      </c>
      <c r="D12" s="18">
        <f>-(D6-C6)*Assumptions!B11</f>
        <v>-144852976.93972206</v>
      </c>
      <c r="E12" s="18">
        <f>-(E6-D6)*Assumptions!B11</f>
        <v>-150439269.83483982</v>
      </c>
      <c r="F12" s="18">
        <f>-(F6-E6)*Assumptions!B11</f>
        <v>-156240999.57474518</v>
      </c>
    </row>
    <row r="13" spans="1:6" x14ac:dyDescent="0.25">
      <c r="A13" s="19" t="s">
        <v>49</v>
      </c>
      <c r="B13" s="20">
        <f>B9+B10+B11+B12</f>
        <v>995806018.9963989</v>
      </c>
      <c r="C13" s="20">
        <f>C9+C10+C11+C12</f>
        <v>1034209538.2499228</v>
      </c>
      <c r="D13" s="20">
        <f>D9+D10+D11+D12</f>
        <v>1074094099.2554765</v>
      </c>
      <c r="E13" s="20">
        <f>E9+E10+E11+E12</f>
        <v>1115516818.7751129</v>
      </c>
      <c r="F13" s="20">
        <f>F9+F10+F11+F12</f>
        <v>1158537016.2937374</v>
      </c>
    </row>
    <row r="14" spans="1:6" x14ac:dyDescent="0.25">
      <c r="A14" t="s">
        <v>50</v>
      </c>
      <c r="B14" s="21">
        <f>1/(1+Assumptions!$B$26)^(1-0.5*Assumptions!$B$32)</f>
        <v>0.9657014886430917</v>
      </c>
      <c r="C14" s="21">
        <f>1/(1+Assumptions!$B$26)^(2-0.5*Assumptions!$B$32)</f>
        <v>0.9005932812200681</v>
      </c>
      <c r="D14" s="21">
        <f>1/(1+Assumptions!$B$26)^(3-0.5*Assumptions!$B$32)</f>
        <v>0.8398747104743121</v>
      </c>
      <c r="E14" s="21">
        <f>1/(1+Assumptions!$B$26)^(4-0.5*Assumptions!$B$32)</f>
        <v>0.7832498243143577</v>
      </c>
      <c r="F14" s="21">
        <f>1/(1+Assumptions!$B$26)^(5-0.5*Assumptions!$B$32)</f>
        <v>0.7304426239266266</v>
      </c>
    </row>
    <row r="15" spans="1:6" x14ac:dyDescent="0.25">
      <c r="A15" s="19" t="s">
        <v>51</v>
      </c>
      <c r="B15" s="20">
        <f>B13*B14</f>
        <v>961651354.9445733</v>
      </c>
      <c r="C15" s="20">
        <f>C13*C14</f>
        <v>931402161.5215894</v>
      </c>
      <c r="D15" s="20">
        <f>D13*D14</f>
        <v>902104470.6343603</v>
      </c>
      <c r="E15" s="20">
        <f>E13*E14</f>
        <v>873728352.3253185</v>
      </c>
      <c r="F15" s="20">
        <f>F13*F14</f>
        <v>846244818.0977225</v>
      </c>
    </row>
    <row r="17" spans="1:2" x14ac:dyDescent="0.25">
      <c r="A17" s="22" t="s">
        <v>52</v>
      </c>
      <c r="B17" s="23">
        <f>SUM(B15:F15)</f>
        <v>4515131157.523563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1158537016.2937374</v>
      </c>
    </row>
    <row r="5" spans="1:2" x14ac:dyDescent="0.25">
      <c r="A5" t="s">
        <v>56</v>
      </c>
      <c r="B5" s="18">
        <f>IF(Assumptions!$B$33=0,B4,B4-Forecast!F11-Forecast!F10-Forecast!F12)</f>
        <v>1314778015.8684824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0.34580635716504166</v>
      </c>
    </row>
    <row r="7" spans="1:2" x14ac:dyDescent="0.25">
      <c r="A7" t="s">
        <v>58</v>
      </c>
      <c r="B7" s="18">
        <f>-MAX(Forecast!F9,0)*B6</f>
        <v>-454658596.14816123</v>
      </c>
    </row>
    <row r="8" spans="1:2" x14ac:dyDescent="0.25">
      <c r="A8" t="s">
        <v>59</v>
      </c>
      <c r="B8" s="18">
        <f>IF(OR(Assumptions!$B$33=0,Assumptions!B12&lt;=0),B5,MAX(B5+B7,0))</f>
        <v>860119419.7203212</v>
      </c>
    </row>
    <row r="9" spans="1:2" x14ac:dyDescent="0.25">
      <c r="A9" t="s">
        <v>60</v>
      </c>
      <c r="B9" s="18">
        <f>B8*(1+Assumptions!B12)/(Assumptions!B26-Assumptions!B12)</f>
        <v>18641002442.074604</v>
      </c>
    </row>
    <row r="10" spans="1:2" x14ac:dyDescent="0.25">
      <c r="A10" t="s">
        <v>61</v>
      </c>
      <c r="B10" s="18">
        <f>B9/(1+Assumptions!B26)^(5-0.5*Assumptions!B32)</f>
        <v>13616182736.411629</v>
      </c>
    </row>
    <row r="11" spans="1:2" x14ac:dyDescent="0.25">
      <c r="A11" t="s">
        <v>62</v>
      </c>
      <c r="B11" s="18">
        <f>Forecast!B17+B10</f>
        <v>18131313893.935192</v>
      </c>
    </row>
    <row r="12" spans="1:2" x14ac:dyDescent="0.25">
      <c r="A12" t="s">
        <v>63</v>
      </c>
      <c r="B12" s="18">
        <f>-Assumptions!B30</f>
        <v>-15880529000</v>
      </c>
    </row>
    <row r="13" spans="1:2" x14ac:dyDescent="0.25">
      <c r="A13" t="s">
        <v>64</v>
      </c>
      <c r="B13" s="18">
        <f>B11+B12</f>
        <v>2250784893.935192</v>
      </c>
    </row>
    <row r="14" spans="1:2" x14ac:dyDescent="0.25">
      <c r="A14" s="19" t="s">
        <v>65</v>
      </c>
      <c r="B14" s="24">
        <f>B13/Assumptions!B31</f>
        <v>14.167552473643015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2387051375.8889575</v>
      </c>
    </row>
    <row r="18" spans="1:2" x14ac:dyDescent="0.25">
      <c r="A18" t="s">
        <v>60</v>
      </c>
      <c r="B18" s="18">
        <f>B17*Assumptions!B13</f>
        <v>33830928206.119457</v>
      </c>
    </row>
    <row r="19" spans="1:2" x14ac:dyDescent="0.25">
      <c r="A19" t="s">
        <v>61</v>
      </c>
      <c r="B19" s="18">
        <f>B18/(1+Assumptions!B26)^(5-0.5*Assumptions!B32)</f>
        <v>24711551968.75122</v>
      </c>
    </row>
    <row r="20" spans="1:2" x14ac:dyDescent="0.25">
      <c r="A20" t="s">
        <v>62</v>
      </c>
      <c r="B20" s="18">
        <f>Forecast!B17+B19</f>
        <v>29226683126.274784</v>
      </c>
    </row>
    <row r="21" spans="1:2" x14ac:dyDescent="0.25">
      <c r="A21" t="s">
        <v>63</v>
      </c>
      <c r="B21" s="18">
        <f>-Assumptions!B30</f>
        <v>-15880529000</v>
      </c>
    </row>
    <row r="22" spans="1:2" x14ac:dyDescent="0.25">
      <c r="A22" t="s">
        <v>64</v>
      </c>
      <c r="B22" s="18">
        <f>B20+B21</f>
        <v>13346154126.274784</v>
      </c>
    </row>
    <row r="23" spans="1:2" x14ac:dyDescent="0.25">
      <c r="A23" s="19" t="s">
        <v>65</v>
      </c>
      <c r="B23" s="25">
        <f>B22/Assumptions!B31</f>
        <v>84.00728981912636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63.17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14.167552473643015</v>
      </c>
    </row>
    <row r="29" spans="1:2" x14ac:dyDescent="0.25">
      <c r="A29" s="19" t="s">
        <v>73</v>
      </c>
      <c r="B29" s="12">
        <f>B28/B26-1</f>
        <v>-0.7757234055145953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0.052295</v>
      </c>
      <c r="B5" s="31">
        <v>57.50777847471279</v>
      </c>
      <c r="C5" s="31">
        <v>58.13685622941176</v>
      </c>
      <c r="D5" s="31">
        <v>58.76593398411081</v>
      </c>
      <c r="E5" s="31">
        <v>59.39501173880981</v>
      </c>
      <c r="F5" s="31">
        <v>60.02408949350881</v>
      </c>
    </row>
    <row r="6" spans="1:6" x14ac:dyDescent="0.25">
      <c r="A6" s="30">
        <v>0.062295</v>
      </c>
      <c r="B6" s="31">
        <v>31.855352543633394</v>
      </c>
      <c r="C6" s="31">
        <v>32.361441625258315</v>
      </c>
      <c r="D6" s="31">
        <v>32.867530706883194</v>
      </c>
      <c r="E6" s="31">
        <v>33.373619788508115</v>
      </c>
      <c r="F6" s="31">
        <v>33.879708870132994</v>
      </c>
    </row>
    <row r="7" spans="1:6" x14ac:dyDescent="0.25">
      <c r="A7" s="30">
        <v>0.072295</v>
      </c>
      <c r="B7" s="31">
        <v>13.331061250759676</v>
      </c>
      <c r="C7" s="31">
        <v>13.749142557649597</v>
      </c>
      <c r="D7" s="32">
        <v>14.167223864539517</v>
      </c>
      <c r="E7" s="31">
        <v>14.585305171429438</v>
      </c>
      <c r="F7" s="31">
        <v>15.003386478319358</v>
      </c>
    </row>
    <row r="8" spans="1:6" x14ac:dyDescent="0.25">
      <c r="A8" s="30">
        <v>0.082295</v>
      </c>
      <c r="B8" s="31">
        <v>-0.6652146680629359</v>
      </c>
      <c r="C8" s="31">
        <v>-0.31296191814444624</v>
      </c>
      <c r="D8" s="31">
        <v>0.03929083177401941</v>
      </c>
      <c r="E8" s="31">
        <v>0.3915435816925331</v>
      </c>
      <c r="F8" s="31">
        <v>0.7437963316109988</v>
      </c>
    </row>
    <row r="9" spans="1:6" x14ac:dyDescent="0.25">
      <c r="A9" s="30">
        <v>0.092295</v>
      </c>
      <c r="B9" s="31">
        <v>-11.60662668475608</v>
      </c>
      <c r="C9" s="31">
        <v>-11.305273804623965</v>
      </c>
      <c r="D9" s="31">
        <v>-11.003920924491876</v>
      </c>
      <c r="E9" s="31">
        <v>-10.702568044359786</v>
      </c>
      <c r="F9" s="31">
        <v>-10.401215164227695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3482279000</v>
      </c>
      <c r="C5" s="18">
        <v>3407719000</v>
      </c>
      <c r="D5" s="18">
        <v>3273569000</v>
      </c>
      <c r="E5" s="18">
        <v>3108581000</v>
      </c>
      <c r="F5" s="8" t="s">
        <v>84</v>
      </c>
    </row>
    <row r="6" spans="1:6" x14ac:dyDescent="0.25">
      <c r="A6" t="s">
        <v>44</v>
      </c>
      <c r="B6" s="18">
        <v>1014351000</v>
      </c>
      <c r="C6" s="18">
        <v>1021931000</v>
      </c>
      <c r="D6" s="18">
        <v>1038655000</v>
      </c>
      <c r="E6" s="18">
        <v>1061430000</v>
      </c>
      <c r="F6" s="8" t="s">
        <v>85</v>
      </c>
    </row>
    <row r="7" spans="1:6" x14ac:dyDescent="0.25">
      <c r="A7" t="s">
        <v>86</v>
      </c>
      <c r="B7" s="18">
        <v>912352000</v>
      </c>
      <c r="C7" s="18">
        <v>889453000</v>
      </c>
      <c r="D7" s="18">
        <v>832753000</v>
      </c>
      <c r="E7" s="18">
        <v>752202000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194397000</v>
      </c>
      <c r="C9" s="18">
        <v>204407000</v>
      </c>
      <c r="D9" s="18">
        <v>162899000</v>
      </c>
      <c r="E9" s="18">
        <v>207589000</v>
      </c>
      <c r="F9" s="8" t="s">
        <v>91</v>
      </c>
    </row>
    <row r="10" spans="1:6" x14ac:dyDescent="0.25">
      <c r="A10" t="s">
        <v>92</v>
      </c>
      <c r="B10" s="18">
        <v>17358735000</v>
      </c>
      <c r="C10" s="18">
        <v>16984070000</v>
      </c>
      <c r="D10" s="18">
        <v>16624649000</v>
      </c>
      <c r="E10" s="18">
        <v>14694357000</v>
      </c>
      <c r="F10" s="8" t="s">
        <v>93</v>
      </c>
    </row>
    <row r="11" spans="1:6" x14ac:dyDescent="0.25">
      <c r="A11" t="s">
        <v>94</v>
      </c>
      <c r="B11" s="18">
        <v>1478206000</v>
      </c>
      <c r="C11" s="18">
        <v>1254882000</v>
      </c>
      <c r="D11" s="18">
        <v>1531477000</v>
      </c>
      <c r="E11" s="18">
        <v>690333000</v>
      </c>
      <c r="F11" s="8" t="s">
        <v>95</v>
      </c>
    </row>
    <row r="12" spans="1:6" x14ac:dyDescent="0.25">
      <c r="A12" t="s">
        <v>32</v>
      </c>
      <c r="B12" s="34">
        <v>158869000</v>
      </c>
      <c r="C12" s="34">
        <v>157793000</v>
      </c>
      <c r="D12" s="34">
        <v>157201500</v>
      </c>
      <c r="E12" s="34">
        <v>157136000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