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<sst xmlns="http://schemas.openxmlformats.org/spreadsheetml/2006/main" count="113" uniqueCount="101">
  <si>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Buzzi S.p.A. (BZU.MI)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</si>
  <si>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</si>
  <si>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</si>
  <si>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</si>
  <si>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</si>
  <si>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</si>
  <si>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</si>
  <si>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</si>
  <si>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</si>
  <si>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</si>
  <si>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</si>
  <si>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</si>
  <si>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</si>
  <si>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</si>
  <si>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</si>
  <si>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</si>
  <si>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</si>
  <si>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</si>
  <si>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</si>
  <si>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</si>
  <si>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</si>
  <si>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</si>
  <si>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</si>
  <si>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</si>
  <si>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</si>
  <si>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</si>
  <si>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</si>
  <si>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</si>
  <si>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</si>
  <si>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</si>
  <si>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</si>
  <si>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</si>
  <si>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</si>
  <si>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</si>
  <si>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</si>
  <si>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</si>
  <si>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</si>
  <si>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</si>
  <si>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</si>
  <si>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</si>
  <si>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</si>
  <si>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</si>
  <si>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</si>
  <si>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</si>
  <si>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</si>
  <si>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</si>
  <si>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</si>
  <si>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</si>
  <si>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</si>
  <si>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</si>
  <si>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</si>
  <si>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</si>
  <si>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</si>
  <si>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</si>
  <si>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</si>
  <si>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</si>
  <si>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</si>
  <si>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</si>
  <si>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</si>
  <si>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</si>
  <si>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</si>
  <si>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</si>
  <si>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</si>
  <si>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</si>
  <si>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</si>
  <si>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</si>
  <si>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</si>
  <si>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</si>
  <si>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</si>
  <si>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</si>
  <si>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</si>
  <si>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</si>
  <si>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</si>
  <si>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</si>
  <si>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</si>
  <si>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</si>
  <si>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</si>
  <si>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</si>
  <si>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</si>
  <si>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</si>
  <si>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</si>
  <si>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</si>
  <si>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</si>
  <si>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</si>
  <si>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</si>
  <si>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</si>
  <si>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</si>
  <si>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</si>
  <si>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</si>
  <si>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</si>
  <si>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</si>
  <si>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</si>
  <si>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</si>
  <si>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</si>
  <si>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</si>
  <si>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</si>
  <si>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</si>
  <si>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</si>
  <si>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8.4% of revenue against depreciation of 6.5%.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</si>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</sst>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0.041875839706005946</v>
      </c>
    </row>
    <row r="7" spans="1:2" x14ac:dyDescent="0.25">
      <c r="A7" t="s">
        <v>5</v>
      </c>
      <c r="B7" s="6">
        <v>0.2018952728391732</v>
      </c>
    </row>
    <row r="8" spans="1:2" x14ac:dyDescent="0.25">
      <c r="A8" t="s">
        <v>6</v>
      </c>
      <c r="B8" s="6">
        <v>0.1838558623633742</v>
      </c>
    </row>
    <row r="9" spans="1:2" x14ac:dyDescent="0.25">
      <c r="A9" t="s">
        <v>7</v>
      </c>
      <c r="B9" s="6">
        <v>0.0646628548597414</v>
      </c>
    </row>
    <row r="10" spans="1:2" x14ac:dyDescent="0.25">
      <c r="A10" t="s">
        <v>8</v>
      </c>
      <c r="B10" s="6">
        <v>0.0837777255882969</v>
      </c>
    </row>
    <row r="11" spans="1:2" x14ac:dyDescent="0.25">
      <c r="A11" t="s">
        <v>9</v>
      </c>
      <c r="B11" s="6">
        <v>0.19519106453713875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4.464980691972002</v>
      </c>
    </row>
    <row r="14" spans="1:3" x14ac:dyDescent="0.25">
      <c r="A14" t="s">
        <v>12</v>
      </c>
      <c r="B14" s="6">
        <v>0.10597563986834775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1.02345</v>
      </c>
      <c r="C19" s="8" t="s">
        <v>19</v>
      </c>
    </row>
    <row r="20" spans="1:2" x14ac:dyDescent="0.25">
      <c r="A20" t="s">
        <v>20</v>
      </c>
      <c r="B20" s="10">
        <f>B17+B19*B18</f>
        <v>0.10852425000000002</v>
      </c>
    </row>
    <row r="21" spans="1:3" x14ac:dyDescent="0.25">
      <c r="A21" t="s">
        <v>21</v>
      </c>
      <c r="B21" s="6">
        <v>0.0798719820561261</v>
      </c>
      <c r="C21" s="8" t="s">
        <v>22</v>
      </c>
    </row>
    <row r="22" spans="1:2" x14ac:dyDescent="0.25">
      <c r="A22" t="s">
        <v>23</v>
      </c>
      <c r="B22" s="11">
        <v>6583884288</v>
      </c>
    </row>
    <row r="23" spans="1:2" x14ac:dyDescent="0.25">
      <c r="A23" t="s">
        <v>24</v>
      </c>
      <c r="B23" s="11">
        <v>441038000</v>
      </c>
    </row>
    <row r="24" spans="1:2" x14ac:dyDescent="0.25">
      <c r="A24" t="s">
        <v>25</v>
      </c>
      <c r="B24" s="10">
        <f>B22/(B22+B23)</f>
        <v>0.9372180955292014</v>
      </c>
    </row>
    <row r="25" spans="1:2" x14ac:dyDescent="0.25">
      <c r="A25" t="s">
        <v>26</v>
      </c>
      <c r="B25" s="10">
        <f>1-B24</f>
        <v>0.06278190447079857</v>
      </c>
    </row>
    <row r="26" spans="1:2" x14ac:dyDescent="0.25">
      <c r="A26" t="s">
        <v>27</v>
      </c>
      <c r="B26" s="12">
        <f>B24*B20+B25*B21*(1-B8)</f>
        <v>0.10580345804432742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4518779000</v>
      </c>
      <c r="C29" s="8" t="s">
        <v>30</v>
      </c>
    </row>
    <row r="30" spans="1:2" x14ac:dyDescent="0.25">
      <c r="A30" t="s">
        <v>31</v>
      </c>
      <c r="B30" s="11">
        <v>-1094704000</v>
      </c>
    </row>
    <row r="31" spans="1:2" x14ac:dyDescent="0.25">
      <c r="A31" t="s">
        <v>32</v>
      </c>
      <c r="B31" s="13">
        <v>181040086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0.041875839706005946</v>
      </c>
      <c r="C5" s="10">
        <f>Assumptions!B6</f>
        <v>0.041875839706005946</v>
      </c>
      <c r="D5" s="10">
        <f>Assumptions!B6</f>
        <v>0.041875839706005946</v>
      </c>
      <c r="E5" s="10">
        <f>Assumptions!B6</f>
        <v>0.041875839706005946</v>
      </c>
      <c r="F5" s="10">
        <f>Assumptions!B6</f>
        <v>0.041875839706005946</v>
      </c>
    </row>
    <row r="6" spans="1:6" x14ac:dyDescent="0.25">
      <c r="A6" t="s">
        <v>43</v>
      </c>
      <c r="B6" s="18">
        <f>Assumptions!B29*(1+B5)</f>
        <v>4708006665.070866</v>
      </c>
      <c r="C6" s="18">
        <f>B6*(1+C5)</f>
        <v>4905158397.512181</v>
      </c>
      <c r="D6" s="18">
        <f>C6*(1+D5)</f>
        <v>5110566024.29897</v>
      </c>
      <c r="E6" s="18">
        <f>D6*(1+E5)</f>
        <v>5324575267.939474</v>
      </c>
      <c r="F6" s="18">
        <f>E6*(1+F5)</f>
        <v>5547546328.362271</v>
      </c>
    </row>
    <row r="7" spans="1:6" x14ac:dyDescent="0.25">
      <c r="A7" t="s">
        <v>5</v>
      </c>
      <c r="B7" s="10">
        <f>Assumptions!B7</f>
        <v>0.2018952728391732</v>
      </c>
      <c r="C7" s="10">
        <f>Assumptions!B7</f>
        <v>0.2018952728391732</v>
      </c>
      <c r="D7" s="10">
        <f>Assumptions!B7</f>
        <v>0.2018952728391732</v>
      </c>
      <c r="E7" s="10">
        <f>Assumptions!B7</f>
        <v>0.2018952728391732</v>
      </c>
      <c r="F7" s="10">
        <f>Assumptions!B7</f>
        <v>0.2018952728391732</v>
      </c>
    </row>
    <row r="8" spans="1:6" x14ac:dyDescent="0.25">
      <c r="A8" t="s">
        <v>44</v>
      </c>
      <c r="B8" s="18">
        <f>B6*B7</f>
        <v>950524290.1731282</v>
      </c>
      <c r="C8" s="18">
        <f>C6*C7</f>
        <v>990328292.9850833</v>
      </c>
      <c r="D8" s="18">
        <f>D6*D7</f>
        <v>1031799121.8384492</v>
      </c>
      <c r="E8" s="18">
        <f>E6*E7</f>
        <v>1075006576.4733539</v>
      </c>
      <c r="F8" s="18">
        <f>F6*F7</f>
        <v>1120023379.5526543</v>
      </c>
    </row>
    <row r="9" spans="1:6" x14ac:dyDescent="0.25">
      <c r="A9" t="s">
        <v>45</v>
      </c>
      <c r="B9" s="18">
        <f>B8*(1-Assumptions!B8)</f>
        <v>775764827.1060137</v>
      </c>
      <c r="C9" s="18">
        <f>C8*(1-Assumptions!B8)</f>
        <v>808250630.6554626</v>
      </c>
      <c r="D9" s="18">
        <f>D8*(1-Assumptions!B8)</f>
        <v>842096804.507069</v>
      </c>
      <c r="E9" s="18">
        <f>E8*(1-Assumptions!B8)</f>
        <v>877360315.3095468</v>
      </c>
      <c r="F9" s="18">
        <f>F8*(1-Assumptions!B8)</f>
        <v>914100515.2378603</v>
      </c>
    </row>
    <row r="10" spans="1:6" x14ac:dyDescent="0.25">
      <c r="A10" t="s">
        <v>46</v>
      </c>
      <c r="B10" s="18">
        <f>B6*Assumptions!B9</f>
        <v>304433151.6621725</v>
      </c>
      <c r="C10" s="18">
        <f>C6*Assumptions!B9</f>
        <v>317181545.5223719</v>
      </c>
      <c r="D10" s="18">
        <f>D6*Assumptions!B9</f>
        <v>330463789.08036995</v>
      </c>
      <c r="E10" s="18">
        <f>E6*Assumptions!B9</f>
        <v>344302237.74053884</v>
      </c>
      <c r="F10" s="18">
        <f>F6*Assumptions!B9</f>
        <v>358720183.0585808</v>
      </c>
    </row>
    <row r="11" spans="1:6" x14ac:dyDescent="0.25">
      <c r="A11" t="s">
        <v>47</v>
      </c>
      <c r="B11" s="18">
        <f>-B6*Assumptions!B10</f>
        <v>-394426090.45417976</v>
      </c>
      <c r="C11" s="18">
        <f>-C6*Assumptions!B10</f>
        <v>-410943014.19390565</v>
      </c>
      <c r="D11" s="18">
        <f>-D6*Assumptions!B10</f>
        <v>-428151597.98459256</v>
      </c>
      <c r="E11" s="18">
        <f>-E6*Assumptions!B10</f>
        <v>-446080805.67166567</v>
      </c>
      <c r="F11" s="18">
        <f>-F6*Assumptions!B10</f>
        <v>-464760813.9858983</v>
      </c>
    </row>
    <row r="12" spans="1:6" x14ac:dyDescent="0.25">
      <c r="A12" t="s">
        <v>48</v>
      </c>
      <c r="B12" s="18">
        <f>-(B6-Assumptions!B29)*Assumptions!B11</f>
        <v>-36935549.38505941</v>
      </c>
      <c r="C12" s="18">
        <f>-(C6-B6)*Assumptions!B11</f>
        <v>-38482256.53056155</v>
      </c>
      <c r="D12" s="18">
        <f>-(D6-C6)*Assumptions!B11</f>
        <v>-40093733.33656063</v>
      </c>
      <c r="E12" s="18">
        <f>-(E6-D6)*Assumptions!B11</f>
        <v>-41772692.08697785</v>
      </c>
      <c r="F12" s="18">
        <f>-(F6-E6)*Assumptions!B11</f>
        <v>-43521958.64490047</v>
      </c>
    </row>
    <row r="13" spans="1:6" x14ac:dyDescent="0.25">
      <c r="A13" s="19" t="s">
        <v>49</v>
      </c>
      <c r="B13" s="20">
        <f>B9+B10+B11+B12</f>
        <v>648836338.928947</v>
      </c>
      <c r="C13" s="20">
        <f>C9+C10+C11+C12</f>
        <v>676006905.4533674</v>
      </c>
      <c r="D13" s="20">
        <f>D9+D10+D11+D12</f>
        <v>704315262.2662859</v>
      </c>
      <c r="E13" s="20">
        <f>E9+E10+E11+E12</f>
        <v>733809055.291442</v>
      </c>
      <c r="F13" s="20">
        <f>F9+F10+F11+F12</f>
        <v>764537925.6656424</v>
      </c>
    </row>
    <row r="14" spans="1:6" x14ac:dyDescent="0.25">
      <c r="A14" t="s">
        <v>50</v>
      </c>
      <c r="B14" s="21">
        <f>1/(1+Assumptions!$B$26)^(1-0.5*Assumptions!$B$32)</f>
        <v>0.9509573251980958</v>
      </c>
      <c r="C14" s="21">
        <f>1/(1+Assumptions!$B$26)^(2-0.5*Assumptions!$B$32)</f>
        <v>0.8599695707950803</v>
      </c>
      <c r="D14" s="21">
        <f>1/(1+Assumptions!$B$26)^(3-0.5*Assumptions!$B$32)</f>
        <v>0.7776875398056563</v>
      </c>
      <c r="E14" s="21">
        <f>1/(1+Assumptions!$B$26)^(4-0.5*Assumptions!$B$32)</f>
        <v>0.7032782671714902</v>
      </c>
      <c r="F14" s="21">
        <f>1/(1+Assumptions!$B$26)^(5-0.5*Assumptions!$B$32)</f>
        <v>0.6359884860690121</v>
      </c>
    </row>
    <row r="15" spans="1:6" x14ac:dyDescent="0.25">
      <c r="A15" s="19" t="s">
        <v>51</v>
      </c>
      <c r="B15" s="20">
        <f>B13*B14</f>
        <v>617015669.3591965</v>
      </c>
      <c r="C15" s="20">
        <f>C13*C14</f>
        <v>581345368.3372427</v>
      </c>
      <c r="D15" s="20">
        <f>D13*D14</f>
        <v>547737203.5594435</v>
      </c>
      <c r="E15" s="20">
        <f>E13*E14</f>
        <v>516071960.84011364</v>
      </c>
      <c r="F15" s="20">
        <f>F13*F14</f>
        <v>486237317.88643485</v>
      </c>
    </row>
    <row r="17" spans="1:2" x14ac:dyDescent="0.25">
      <c r="A17" s="22" t="s">
        <v>52</v>
      </c>
      <c r="B17" s="23">
        <f>SUM(B15:F15)</f>
        <v>2748407519.9824314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764537925.6656424</v>
      </c>
    </row>
    <row r="5" spans="1:2" x14ac:dyDescent="0.25">
      <c r="A5" t="s">
        <v>56</v>
      </c>
      <c r="B5" s="18">
        <f>IF(Assumptions!$B$33=0,B4,B4-Forecast!F11-Forecast!F10-Forecast!F12)</f>
        <v>922497343.0311954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0.235903270138847</v>
      </c>
    </row>
    <row r="7" spans="1:2" x14ac:dyDescent="0.25">
      <c r="A7" t="s">
        <v>58</v>
      </c>
      <c r="B7" s="18">
        <f>-MAX(Forecast!F9,0)*B6</f>
        <v>-217620139.91545668</v>
      </c>
    </row>
    <row r="8" spans="1:2" x14ac:dyDescent="0.25">
      <c r="A8" t="s">
        <v>59</v>
      </c>
      <c r="B8" s="18">
        <f>IF(OR(Assumptions!$B$33=0,Assumptions!B12&lt;=0),B5,MAX(B5+B7,0))</f>
        <v>704877203.1157387</v>
      </c>
    </row>
    <row r="9" spans="1:2" x14ac:dyDescent="0.25">
      <c r="A9" t="s">
        <v>60</v>
      </c>
      <c r="B9" s="18">
        <f>B8*(1+Assumptions!B12)/(Assumptions!B26-Assumptions!B12)</f>
        <v>8941438283.461596</v>
      </c>
    </row>
    <row r="10" spans="1:2" x14ac:dyDescent="0.25">
      <c r="A10" t="s">
        <v>61</v>
      </c>
      <c r="B10" s="18">
        <f>B9/(1+Assumptions!B26)^(5-0.5*Assumptions!B32)</f>
        <v>5686651797.1782465</v>
      </c>
    </row>
    <row r="11" spans="1:2" x14ac:dyDescent="0.25">
      <c r="A11" t="s">
        <v>62</v>
      </c>
      <c r="B11" s="18">
        <f>Forecast!B17+B10</f>
        <v>8435059317.160678</v>
      </c>
    </row>
    <row r="12" spans="1:2" x14ac:dyDescent="0.25">
      <c r="A12" t="s">
        <v>63</v>
      </c>
      <c r="B12" s="18">
        <f>-Assumptions!B30</f>
        <v>1094704000.000001</v>
      </c>
    </row>
    <row r="13" spans="1:2" x14ac:dyDescent="0.25">
      <c r="A13" t="s">
        <v>64</v>
      </c>
      <c r="B13" s="18">
        <f>B11+B12</f>
        <v>9529763317.160679</v>
      </c>
    </row>
    <row r="14" spans="1:2" x14ac:dyDescent="0.25">
      <c r="A14" s="19" t="s">
        <v>65</v>
      </c>
      <c r="B14" s="24">
        <f>B13/Assumptions!B31</f>
        <v>52.63896812974713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1478743562.6112351</v>
      </c>
    </row>
    <row r="18" spans="1:2" x14ac:dyDescent="0.25">
      <c r="A18" t="s">
        <v>60</v>
      </c>
      <c r="B18" s="18">
        <f>B17*Assumptions!B13</f>
        <v>6602561455.437057</v>
      </c>
    </row>
    <row r="19" spans="1:2" x14ac:dyDescent="0.25">
      <c r="A19" t="s">
        <v>61</v>
      </c>
      <c r="B19" s="18">
        <f>B18/(1+Assumptions!B26)^(5-0.5*Assumptions!B32)</f>
        <v>4199153064.221027</v>
      </c>
    </row>
    <row r="20" spans="1:2" x14ac:dyDescent="0.25">
      <c r="A20" t="s">
        <v>62</v>
      </c>
      <c r="B20" s="18">
        <f>Forecast!B17+B19</f>
        <v>6947560584.203459</v>
      </c>
    </row>
    <row r="21" spans="1:2" x14ac:dyDescent="0.25">
      <c r="A21" t="s">
        <v>63</v>
      </c>
      <c r="B21" s="18">
        <f>-Assumptions!B30</f>
        <v>1094704000</v>
      </c>
    </row>
    <row r="22" spans="1:2" x14ac:dyDescent="0.25">
      <c r="A22" t="s">
        <v>64</v>
      </c>
      <c r="B22" s="18">
        <f>B20+B21</f>
        <v>8042264584.203459</v>
      </c>
    </row>
    <row r="23" spans="1:2" x14ac:dyDescent="0.25">
      <c r="A23" s="19" t="s">
        <v>65</v>
      </c>
      <c r="B23" s="25">
        <f>B22/Assumptions!B31</f>
        <v>44.422562769902015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37.3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52.63896812974713</v>
      </c>
    </row>
    <row r="29" spans="1:2" x14ac:dyDescent="0.25">
      <c r="A29" s="19" t="s">
        <v>73</v>
      </c>
      <c r="B29" s="12">
        <f>B28/B26-1</f>
        <v>0.41123238953745656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0.085803</v>
      </c>
      <c r="B5" s="31">
        <v>65.20319157561921</v>
      </c>
      <c r="C5" s="31">
        <v>66.14953176680096</v>
      </c>
      <c r="D5" s="31">
        <v>67.2242131525903</v>
      </c>
      <c r="E5" s="31">
        <v>68.46173419936204</v>
      </c>
      <c r="F5" s="31">
        <v>69.91017464482336</v>
      </c>
    </row>
    <row r="6" spans="1:6" x14ac:dyDescent="0.25">
      <c r="A6" s="30">
        <v>0.095803</v>
      </c>
      <c r="B6" s="31">
        <v>57.9654326343098</v>
      </c>
      <c r="C6" s="31">
        <v>58.414586275189855</v>
      </c>
      <c r="D6" s="31">
        <v>58.90468094631551</v>
      </c>
      <c r="E6" s="31">
        <v>59.445049283792834</v>
      </c>
      <c r="F6" s="31">
        <v>60.0480937183452</v>
      </c>
    </row>
    <row r="7" spans="1:6" x14ac:dyDescent="0.25">
      <c r="A7" s="30">
        <v>0.105803</v>
      </c>
      <c r="B7" s="31">
        <v>52.32546532191152</v>
      </c>
      <c r="C7" s="31">
        <v>52.48211068994085</v>
      </c>
      <c r="D7" s="32">
        <v>52.63921971099899</v>
      </c>
      <c r="E7" s="31">
        <v>52.79688413337337</v>
      </c>
      <c r="F7" s="31">
        <v>52.955221621848594</v>
      </c>
    </row>
    <row r="8" spans="1:6" x14ac:dyDescent="0.25">
      <c r="A8" s="30">
        <v>0.115803</v>
      </c>
      <c r="B8" s="31">
        <v>48.18397056532816</v>
      </c>
      <c r="C8" s="31">
        <v>48.31833883028688</v>
      </c>
      <c r="D8" s="31">
        <v>48.452707095245614</v>
      </c>
      <c r="E8" s="31">
        <v>48.58707536020433</v>
      </c>
      <c r="F8" s="31">
        <v>48.72144362516306</v>
      </c>
    </row>
    <row r="9" spans="1:6" x14ac:dyDescent="0.25">
      <c r="A9" s="30">
        <v>0.125803</v>
      </c>
      <c r="B9" s="31">
        <v>44.71871968668863</v>
      </c>
      <c r="C9" s="31">
        <v>44.837539420749245</v>
      </c>
      <c r="D9" s="31">
        <v>44.95635915480987</v>
      </c>
      <c r="E9" s="31">
        <v>45.07517888887048</v>
      </c>
      <c r="F9" s="31">
        <v>45.1939986229311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4518779000</v>
      </c>
      <c r="C5" s="18">
        <v>4313037000</v>
      </c>
      <c r="D5" s="18">
        <v>4317489000</v>
      </c>
      <c r="E5" s="18">
        <v>3995519000</v>
      </c>
      <c r="F5" s="8" t="s">
        <v>84</v>
      </c>
    </row>
    <row r="6" spans="1:6" x14ac:dyDescent="0.25">
      <c r="A6" t="s">
        <v>44</v>
      </c>
      <c r="B6" s="18">
        <v>898941000</v>
      </c>
      <c r="C6" s="18">
        <v>990295000</v>
      </c>
      <c r="D6" s="18">
        <v>975444000</v>
      </c>
      <c r="E6" s="18">
        <v>611766000</v>
      </c>
      <c r="F6" s="8" t="s">
        <v>85</v>
      </c>
    </row>
    <row r="7" spans="1:6" x14ac:dyDescent="0.25">
      <c r="A7" t="s">
        <v>86</v>
      </c>
      <c r="B7" s="18">
        <v>330444000</v>
      </c>
      <c r="C7" s="18">
        <v>272339000</v>
      </c>
      <c r="D7" s="18">
        <v>248237000</v>
      </c>
      <c r="E7" s="18">
        <v>259252000</v>
      </c>
      <c r="F7" s="8" t="s">
        <v>87</v>
      </c>
    </row>
    <row r="8" spans="1:6" x14ac:dyDescent="0.25">
      <c r="A8" t="s">
        <v>88</v>
      </c>
      <c r="B8" s="18">
        <v>424955000</v>
      </c>
      <c r="C8" s="18">
        <v>448413000</v>
      </c>
      <c r="D8" s="18">
        <v>303704000</v>
      </c>
      <c r="E8" s="18">
        <v>266738000</v>
      </c>
      <c r="F8" s="8" t="s">
        <v>89</v>
      </c>
    </row>
    <row r="9" spans="1:6" x14ac:dyDescent="0.25">
      <c r="A9" t="s">
        <v>90</v>
      </c>
      <c r="B9" s="18">
        <v>40159000</v>
      </c>
      <c r="C9" s="18">
        <v>69034000</v>
      </c>
      <c r="D9" s="18">
        <v>124175000</v>
      </c>
      <c r="E9" s="18">
        <v>285566000</v>
      </c>
      <c r="F9" s="8" t="s">
        <v>91</v>
      </c>
    </row>
    <row r="10" spans="1:6" x14ac:dyDescent="0.25">
      <c r="A10" t="s">
        <v>92</v>
      </c>
      <c r="B10" s="18">
        <v>441038000</v>
      </c>
      <c r="C10" s="18">
        <v>607565000</v>
      </c>
      <c r="D10" s="18">
        <v>685116000</v>
      </c>
      <c r="E10" s="18">
        <v>1293114000</v>
      </c>
      <c r="F10" s="8" t="s">
        <v>93</v>
      </c>
    </row>
    <row r="11" spans="1:6" x14ac:dyDescent="0.25">
      <c r="A11" t="s">
        <v>94</v>
      </c>
      <c r="B11" s="18">
        <v>1535742000</v>
      </c>
      <c r="C11" s="18">
        <v>1411877000</v>
      </c>
      <c r="D11" s="18">
        <v>1261913000</v>
      </c>
      <c r="E11" s="18">
        <v>1343930000</v>
      </c>
      <c r="F11" s="8" t="s">
        <v>95</v>
      </c>
    </row>
    <row r="12" spans="1:6" x14ac:dyDescent="0.25">
      <c r="A12" t="s">
        <v>32</v>
      </c>
      <c r="B12" s="34">
        <v>181040086</v>
      </c>
      <c r="C12" s="34">
        <v>183329961</v>
      </c>
      <c r="D12" s="34">
        <v>185126413</v>
      </c>
      <c r="E12" s="34">
        <v>186377503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2026-09-19T00:08:36Z</dcterms:modified>
</cp:coreProperties>
</file>