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<sst xmlns="http://schemas.openxmlformats.org/spreadsheetml/2006/main" count="113" uniqueCount="101">
  <si>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Citigroup Inc. (C)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</si>
  <si>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</si>
  <si>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</si>
  <si>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</si>
  <si>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</si>
  <si>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</si>
  <si>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</si>
  <si>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</si>
  <si>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</si>
  <si>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</si>
  <si>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</si>
  <si>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</si>
  <si>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</si>
  <si>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</si>
  <si>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</si>
  <si>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</si>
  <si>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</si>
  <si>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</si>
  <si>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</si>
  <si>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</si>
  <si>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</si>
  <si>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</si>
  <si>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23.6%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</si>
  <si>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</si>
  <si>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</si>
  <si>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</si>
  <si>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</si>
  <si>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</si>
  <si>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</si>
  <si>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</si>
  <si>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</si>
  <si>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</si>
  <si>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</si>
  <si>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</si>
  <si>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</si>
  <si>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</si>
  <si>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</si>
  <si>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</si>
  <si>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</si>
  <si>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</si>
  <si>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</si>
  <si>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</si>
  <si>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</si>
  <si>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</si>
  <si>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</si>
  <si>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</si>
  <si>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</si>
  <si>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</si>
  <si>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</si>
  <si>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</si>
  <si>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</si>
  <si>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</si>
  <si>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</si>
  <si>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</si>
  <si>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</si>
  <si>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</si>
  <si>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</si>
  <si>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</si>
  <si>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</si>
  <si>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</si>
  <si>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</si>
  <si>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</si>
  <si>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</si>
  <si>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</si>
  <si>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</si>
  <si>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</si>
  <si>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</si>
  <si>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</si>
  <si>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</si>
  <si>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</si>
  <si>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</si>
  <si>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</si>
  <si>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</si>
  <si>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</si>
  <si>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</si>
  <si>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</si>
  <si>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</si>
  <si>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</si>
  <si>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</si>
  <si>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</si>
  <si>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</si>
  <si>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</si>
  <si>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</si>
  <si>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</si>
  <si>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</si>
  <si>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</si>
  <si>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</si>
  <si>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</si>
  <si>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</si>
  <si>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</si>
  <si>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</si>
  <si>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</si>
  <si>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</si>
  <si>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</si>
  <si>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</si>
  <si>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</si>
  <si>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</si>
  <si>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</si>
  <si>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</si>
  <si>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7.9% of revenue against depreciation of 5.5%.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</si>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</sst>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0.04589654681078592</v>
      </c>
    </row>
    <row r="7" spans="1:2" x14ac:dyDescent="0.25">
      <c r="A7" t="s">
        <v>5</v>
      </c>
      <c r="B7" s="6">
        <v>0.21545509637260357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0.05509366317323942</v>
      </c>
    </row>
    <row r="10" spans="1:2" x14ac:dyDescent="0.25">
      <c r="A10" t="s">
        <v>8</v>
      </c>
      <c r="B10" s="6">
        <v>0.07925127852205971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9.882312956985249</v>
      </c>
    </row>
    <row r="14" spans="1:3" x14ac:dyDescent="0.25">
      <c r="A14" t="s">
        <v>12</v>
      </c>
      <c r="B14" s="6">
        <v>0.07528389117792186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1.0649899999999999</v>
      </c>
      <c r="C19" s="8" t="s">
        <v>19</v>
      </c>
    </row>
    <row r="20" spans="1:2" x14ac:dyDescent="0.25">
      <c r="A20" t="s">
        <v>20</v>
      </c>
      <c r="B20" s="10">
        <f>B17+B19*B18</f>
        <v>0.10855445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221035855872</v>
      </c>
    </row>
    <row r="23" spans="1:2" x14ac:dyDescent="0.25">
      <c r="A23" t="s">
        <v>24</v>
      </c>
      <c r="B23" s="11">
        <v>367705000000</v>
      </c>
    </row>
    <row r="24" spans="1:2" x14ac:dyDescent="0.25">
      <c r="A24" t="s">
        <v>25</v>
      </c>
      <c r="B24" s="10">
        <f>B22/(B22+B23)</f>
        <v>0.3754382826797672</v>
      </c>
    </row>
    <row r="25" spans="1:2" x14ac:dyDescent="0.25">
      <c r="A25" t="s">
        <v>26</v>
      </c>
      <c r="B25" s="10">
        <f>1-B24</f>
        <v>0.6245617173202328</v>
      </c>
    </row>
    <row r="26" spans="1:2" x14ac:dyDescent="0.25">
      <c r="A26" t="s">
        <v>27</v>
      </c>
      <c r="B26" s="12">
        <f>B24*B20+B25*B21*(1-B8)</f>
        <v>0.07528389117792186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85213000000</v>
      </c>
      <c r="C29" s="8" t="s">
        <v>30</v>
      </c>
    </row>
    <row r="30" spans="1:2" x14ac:dyDescent="0.25">
      <c r="A30" t="s">
        <v>31</v>
      </c>
      <c r="B30" s="11">
        <v>18126000000</v>
      </c>
    </row>
    <row r="31" spans="1:2" x14ac:dyDescent="0.25">
      <c r="A31" t="s">
        <v>32</v>
      </c>
      <c r="B31" s="13">
        <v>1873100000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0.04589654681078592</v>
      </c>
      <c r="C5" s="10">
        <f>Assumptions!B6</f>
        <v>0.04589654681078592</v>
      </c>
      <c r="D5" s="10">
        <f>Assumptions!B6</f>
        <v>0.04589654681078592</v>
      </c>
      <c r="E5" s="10">
        <f>Assumptions!B6</f>
        <v>0.04589654681078592</v>
      </c>
      <c r="F5" s="10">
        <f>Assumptions!B6</f>
        <v>0.04589654681078592</v>
      </c>
    </row>
    <row r="6" spans="1:6" x14ac:dyDescent="0.25">
      <c r="A6" t="s">
        <v>43</v>
      </c>
      <c r="B6" s="18">
        <f>Assumptions!B29*(1+B5)</f>
        <v>89123982443.3875</v>
      </c>
      <c r="C6" s="18">
        <f>B6*(1+C5)</f>
        <v>93214465475.56409</v>
      </c>
      <c r="D6" s="18">
        <f>C6*(1+D5)</f>
        <v>97492687553.7057</v>
      </c>
      <c r="E6" s="18">
        <f>D6*(1+E5)</f>
        <v>101967265251.72368</v>
      </c>
      <c r="F6" s="18">
        <f>E6*(1+F5)</f>
        <v>106647210614.51724</v>
      </c>
    </row>
    <row r="7" spans="1:6" x14ac:dyDescent="0.25">
      <c r="A7" t="s">
        <v>5</v>
      </c>
      <c r="B7" s="10">
        <f>Assumptions!B7</f>
        <v>0.21545509637260357</v>
      </c>
      <c r="C7" s="10">
        <f>Assumptions!B7</f>
        <v>0.21545509637260357</v>
      </c>
      <c r="D7" s="10">
        <f>Assumptions!B7</f>
        <v>0.21545509637260357</v>
      </c>
      <c r="E7" s="10">
        <f>Assumptions!B7</f>
        <v>0.21545509637260357</v>
      </c>
      <c r="F7" s="10">
        <f>Assumptions!B7</f>
        <v>0.21545509637260357</v>
      </c>
    </row>
    <row r="8" spans="1:6" x14ac:dyDescent="0.25">
      <c r="A8" t="s">
        <v>44</v>
      </c>
      <c r="B8" s="18">
        <f>B6*B7</f>
        <v>19202216226.450283</v>
      </c>
      <c r="C8" s="18">
        <f>C6*C7</f>
        <v>20083531642.358387</v>
      </c>
      <c r="D8" s="18">
        <f>D6*D7</f>
        <v>21005296392.50779</v>
      </c>
      <c r="E8" s="18">
        <f>E6*E7</f>
        <v>21969366961.660957</v>
      </c>
      <c r="F8" s="18">
        <f>F6*F7</f>
        <v>22977685040.820164</v>
      </c>
    </row>
    <row r="9" spans="1:6" x14ac:dyDescent="0.25">
      <c r="A9" t="s">
        <v>45</v>
      </c>
      <c r="B9" s="18">
        <f>B8*(1-Assumptions!B8)</f>
        <v>15169750818.895723</v>
      </c>
      <c r="C9" s="18">
        <f>C8*(1-Assumptions!B8)</f>
        <v>15865989997.463127</v>
      </c>
      <c r="D9" s="18">
        <f>D8*(1-Assumptions!B8)</f>
        <v>16594184150.081154</v>
      </c>
      <c r="E9" s="18">
        <f>E8*(1-Assumptions!B8)</f>
        <v>17355799899.71216</v>
      </c>
      <c r="F9" s="18">
        <f>F8*(1-Assumptions!B8)</f>
        <v>18152371182.24793</v>
      </c>
    </row>
    <row r="10" spans="1:6" x14ac:dyDescent="0.25">
      <c r="A10" t="s">
        <v>46</v>
      </c>
      <c r="B10" s="18">
        <f>B6*Assumptions!B9</f>
        <v>4910166669.393694</v>
      </c>
      <c r="C10" s="18">
        <f>C6*Assumptions!B9</f>
        <v>5135526363.784282</v>
      </c>
      <c r="D10" s="18">
        <f>D6*Assumptions!B9</f>
        <v>5371229289.937733</v>
      </c>
      <c r="E10" s="18">
        <f>E6*Assumptions!B9</f>
        <v>5617750166.474824</v>
      </c>
      <c r="F10" s="18">
        <f>F6*Assumptions!B9</f>
        <v>5875585499.961737</v>
      </c>
    </row>
    <row r="11" spans="1:6" x14ac:dyDescent="0.25">
      <c r="A11" t="s">
        <v>47</v>
      </c>
      <c r="B11" s="18">
        <f>-B6*Assumptions!B10</f>
        <v>-7063189555.616062</v>
      </c>
      <c r="C11" s="18">
        <f>-C6*Assumptions!B10</f>
        <v>-7387365565.6888485</v>
      </c>
      <c r="D11" s="18">
        <f>-D6*Assumptions!B10</f>
        <v>-7726420135.182875</v>
      </c>
      <c r="E11" s="18">
        <f>-E6*Assumptions!B10</f>
        <v>-8081036138.597095</v>
      </c>
      <c r="F11" s="18">
        <f>-F6*Assumptions!B10</f>
        <v>-8451927792.0118685</v>
      </c>
    </row>
    <row r="12" spans="1:6" x14ac:dyDescent="0.25">
      <c r="A12" t="s">
        <v>48</v>
      </c>
      <c r="B12" s="18">
        <f>-(B6-Assumptions!B29)*Assumptions!B11</f>
        <v>-3910982443.387497</v>
      </c>
      <c r="C12" s="18">
        <f>-(C6-B6)*Assumptions!B11</f>
        <v>-4090483032.17659</v>
      </c>
      <c r="D12" s="18">
        <f>-(D6-C6)*Assumptions!B11</f>
        <v>-4278222078.141617</v>
      </c>
      <c r="E12" s="18">
        <f>-(E6-D6)*Assumptions!B11</f>
        <v>-4474577698.017975</v>
      </c>
      <c r="F12" s="18">
        <f>-(F6-E6)*Assumptions!B11</f>
        <v>-4679945362.793564</v>
      </c>
    </row>
    <row r="13" spans="1:6" x14ac:dyDescent="0.25">
      <c r="A13" s="19" t="s">
        <v>49</v>
      </c>
      <c r="B13" s="20">
        <f>B9+B10+B11+B12</f>
        <v>9105745489.285858</v>
      </c>
      <c r="C13" s="20">
        <f>C9+C10+C11+C12</f>
        <v>9523667763.381971</v>
      </c>
      <c r="D13" s="20">
        <f>D9+D10+D11+D12</f>
        <v>9960771226.694395</v>
      </c>
      <c r="E13" s="20">
        <f>E9+E10+E11+E12</f>
        <v>10417936229.57191</v>
      </c>
      <c r="F13" s="20">
        <f>F9+F10+F11+F12</f>
        <v>10896083527.404232</v>
      </c>
    </row>
    <row r="14" spans="1:6" x14ac:dyDescent="0.25">
      <c r="A14" t="s">
        <v>50</v>
      </c>
      <c r="B14" s="21">
        <f>1/(1+Assumptions!$B$26)^(1-0.5*Assumptions!$B$32)</f>
        <v>0.9643583165519871</v>
      </c>
      <c r="C14" s="21">
        <f>1/(1+Assumptions!$B$26)^(2-0.5*Assumptions!$B$32)</f>
        <v>0.896840661767544</v>
      </c>
      <c r="D14" s="21">
        <f>1/(1+Assumptions!$B$26)^(3-0.5*Assumptions!$B$32)</f>
        <v>0.8340501230657309</v>
      </c>
      <c r="E14" s="21">
        <f>1/(1+Assumptions!$B$26)^(4-0.5*Assumptions!$B$32)</f>
        <v>0.775655740691948</v>
      </c>
      <c r="F14" s="21">
        <f>1/(1+Assumptions!$B$26)^(5-0.5*Assumptions!$B$32)</f>
        <v>0.7213497263892369</v>
      </c>
    </row>
    <row r="15" spans="1:6" x14ac:dyDescent="0.25">
      <c r="A15" s="19" t="s">
        <v>51</v>
      </c>
      <c r="B15" s="20">
        <f>B13*B14</f>
        <v>8781201390.99856</v>
      </c>
      <c r="C15" s="20">
        <f>C13*C14</f>
        <v>8541212499.365712</v>
      </c>
      <c r="D15" s="20">
        <f>D13*D14</f>
        <v>8307782467.454052</v>
      </c>
      <c r="E15" s="20">
        <f>E13*E14</f>
        <v>8080732042.63008</v>
      </c>
      <c r="F15" s="20">
        <f>F13*F14</f>
        <v>7859886871.207314</v>
      </c>
    </row>
    <row r="17" spans="1:2" x14ac:dyDescent="0.25">
      <c r="A17" s="22" t="s">
        <v>52</v>
      </c>
      <c r="B17" s="23">
        <f>SUM(B15:F15)</f>
        <v>41570815271.655716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10896083527.404232</v>
      </c>
    </row>
    <row r="5" spans="1:2" x14ac:dyDescent="0.25">
      <c r="A5" t="s">
        <v>56</v>
      </c>
      <c r="B5" s="18">
        <f>IF(Assumptions!$B$33=0,B4,B4-Forecast!F11-Forecast!F10-Forecast!F12)</f>
        <v>18152371182.24793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0.33207635270759794</v>
      </c>
    </row>
    <row r="7" spans="1:2" x14ac:dyDescent="0.25">
      <c r="A7" t="s">
        <v>58</v>
      </c>
      <c r="B7" s="18">
        <f>-MAX(Forecast!F9,0)*B6</f>
        <v>-6027973215.1954</v>
      </c>
    </row>
    <row r="8" spans="1:2" x14ac:dyDescent="0.25">
      <c r="A8" t="s">
        <v>59</v>
      </c>
      <c r="B8" s="18">
        <f>IF(OR(Assumptions!$B$33=0,Assumptions!B12&lt;=0),B5,MAX(B5+B7,0))</f>
        <v>12124397967.052528</v>
      </c>
    </row>
    <row r="9" spans="1:2" x14ac:dyDescent="0.25">
      <c r="A9" t="s">
        <v>60</v>
      </c>
      <c r="B9" s="18">
        <f>B8*(1+Assumptions!B12)/(Assumptions!B26-Assumptions!B12)</f>
        <v>247146901823.01132</v>
      </c>
    </row>
    <row r="10" spans="1:2" x14ac:dyDescent="0.25">
      <c r="A10" t="s">
        <v>61</v>
      </c>
      <c r="B10" s="18">
        <f>B9/(1+Assumptions!B26)^(5-0.5*Assumptions!B32)</f>
        <v>178279350007.9768</v>
      </c>
    </row>
    <row r="11" spans="1:2" x14ac:dyDescent="0.25">
      <c r="A11" t="s">
        <v>62</v>
      </c>
      <c r="B11" s="18">
        <f>Forecast!B17+B10</f>
        <v>219850165279.6325</v>
      </c>
    </row>
    <row r="12" spans="1:2" x14ac:dyDescent="0.25">
      <c r="A12" t="s">
        <v>63</v>
      </c>
      <c r="B12" s="18">
        <f>-Assumptions!B30</f>
        <v>-18126000000</v>
      </c>
    </row>
    <row r="13" spans="1:2" x14ac:dyDescent="0.25">
      <c r="A13" t="s">
        <v>64</v>
      </c>
      <c r="B13" s="18">
        <f>B11+B12</f>
        <v>201724165279.6325</v>
      </c>
    </row>
    <row r="14" spans="1:2" x14ac:dyDescent="0.25">
      <c r="A14" s="19" t="s">
        <v>65</v>
      </c>
      <c r="B14" s="24">
        <f>B13/Assumptions!B31</f>
        <v>107.69535277328093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28853270540.7819</v>
      </c>
    </row>
    <row r="18" spans="1:2" x14ac:dyDescent="0.25">
      <c r="A18" t="s">
        <v>60</v>
      </c>
      <c r="B18" s="18">
        <f>B17*Assumptions!B13</f>
        <v>285137049316.56976</v>
      </c>
    </row>
    <row r="19" spans="1:2" x14ac:dyDescent="0.25">
      <c r="A19" t="s">
        <v>61</v>
      </c>
      <c r="B19" s="18">
        <f>B18/(1+Assumptions!B26)^(5-0.5*Assumptions!B32)</f>
        <v>205683532507.94196</v>
      </c>
    </row>
    <row r="20" spans="1:2" x14ac:dyDescent="0.25">
      <c r="A20" t="s">
        <v>62</v>
      </c>
      <c r="B20" s="18">
        <f>Forecast!B17+B19</f>
        <v>247254347779.59766</v>
      </c>
    </row>
    <row r="21" spans="1:2" x14ac:dyDescent="0.25">
      <c r="A21" t="s">
        <v>63</v>
      </c>
      <c r="B21" s="18">
        <f>-Assumptions!B30</f>
        <v>-18126000000</v>
      </c>
    </row>
    <row r="22" spans="1:2" x14ac:dyDescent="0.25">
      <c r="A22" t="s">
        <v>64</v>
      </c>
      <c r="B22" s="18">
        <f>B20+B21</f>
        <v>229128347779.59766</v>
      </c>
    </row>
    <row r="23" spans="1:2" x14ac:dyDescent="0.25">
      <c r="A23" s="19" t="s">
        <v>65</v>
      </c>
      <c r="B23" s="25">
        <f>B22/Assumptions!B31</f>
        <v>122.32574223458313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131.77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107.69535277328093</v>
      </c>
    </row>
    <row r="29" spans="1:2" x14ac:dyDescent="0.25">
      <c r="A29" s="19" t="s">
        <v>73</v>
      </c>
      <c r="B29" s="12">
        <f>B28/B26-1</f>
        <v>-0.18270203556742115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0.055284</v>
      </c>
      <c r="B5" s="31">
        <v>153.22868533498598</v>
      </c>
      <c r="C5" s="31">
        <v>153.91667332170528</v>
      </c>
      <c r="D5" s="31">
        <v>154.60466130842454</v>
      </c>
      <c r="E5" s="31">
        <v>155.2926492951439</v>
      </c>
      <c r="F5" s="31">
        <v>155.9806372818631</v>
      </c>
    </row>
    <row r="6" spans="1:6" x14ac:dyDescent="0.25">
      <c r="A6" s="30">
        <v>0.065284</v>
      </c>
      <c r="B6" s="31">
        <v>126.38544818213198</v>
      </c>
      <c r="C6" s="31">
        <v>126.94384293539282</v>
      </c>
      <c r="D6" s="31">
        <v>127.50223768865364</v>
      </c>
      <c r="E6" s="31">
        <v>128.06063244191446</v>
      </c>
      <c r="F6" s="31">
        <v>128.61902719517528</v>
      </c>
    </row>
    <row r="7" spans="1:6" x14ac:dyDescent="0.25">
      <c r="A7" s="30">
        <v>0.075284</v>
      </c>
      <c r="B7" s="31">
        <v>106.76659477769962</v>
      </c>
      <c r="C7" s="31">
        <v>107.23088056744075</v>
      </c>
      <c r="D7" s="32">
        <v>107.69516635718185</v>
      </c>
      <c r="E7" s="31">
        <v>108.15945214692297</v>
      </c>
      <c r="F7" s="31">
        <v>108.6237379366641</v>
      </c>
    </row>
    <row r="8" spans="1:6" x14ac:dyDescent="0.25">
      <c r="A8" s="30">
        <v>0.085284</v>
      </c>
      <c r="B8" s="31">
        <v>91.826018214767</v>
      </c>
      <c r="C8" s="31">
        <v>92.21914219905732</v>
      </c>
      <c r="D8" s="31">
        <v>92.61226618334763</v>
      </c>
      <c r="E8" s="31">
        <v>93.00539016763797</v>
      </c>
      <c r="F8" s="31">
        <v>93.39851415192825</v>
      </c>
    </row>
    <row r="9" spans="1:6" x14ac:dyDescent="0.25">
      <c r="A9" s="30">
        <v>0.095284</v>
      </c>
      <c r="B9" s="31">
        <v>80.0867491772005</v>
      </c>
      <c r="C9" s="31">
        <v>80.42438776703173</v>
      </c>
      <c r="D9" s="31">
        <v>80.76202635686289</v>
      </c>
      <c r="E9" s="31">
        <v>81.0996649466941</v>
      </c>
      <c r="F9" s="31">
        <v>81.43730353652528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85213000000</v>
      </c>
      <c r="C5" s="18">
        <v>80672000000</v>
      </c>
      <c r="D5" s="18">
        <v>78090000000</v>
      </c>
      <c r="E5" s="18">
        <v>74480000000</v>
      </c>
      <c r="F5" s="8" t="s">
        <v>84</v>
      </c>
    </row>
    <row r="6" spans="1:6" x14ac:dyDescent="0.25">
      <c r="A6" t="s">
        <v>44</v>
      </c>
      <c r="B6" s="18">
        <v>19828000000</v>
      </c>
      <c r="C6" s="18">
        <v>17046000000</v>
      </c>
      <c r="D6" s="18">
        <v>12910000000</v>
      </c>
      <c r="E6" s="18">
        <v>18807000000</v>
      </c>
      <c r="F6" s="8" t="s">
        <v>85</v>
      </c>
    </row>
    <row r="7" spans="1:6" x14ac:dyDescent="0.25">
      <c r="A7" t="s">
        <v>86</v>
      </c>
      <c r="B7" s="18">
        <v>4373000000</v>
      </c>
      <c r="C7" s="18">
        <v>4311000000</v>
      </c>
      <c r="D7" s="18">
        <v>4560000000</v>
      </c>
      <c r="E7" s="18">
        <v>4262000000</v>
      </c>
      <c r="F7" s="8" t="s">
        <v>87</v>
      </c>
    </row>
    <row r="8" spans="1:6" x14ac:dyDescent="0.25">
      <c r="A8" t="s">
        <v>88</v>
      </c>
      <c r="B8" s="18">
        <v>6520000000</v>
      </c>
      <c r="C8" s="18">
        <v>6500000000</v>
      </c>
      <c r="D8" s="18">
        <v>6583000000</v>
      </c>
      <c r="E8" s="18">
        <v>5632000000</v>
      </c>
      <c r="F8" s="8" t="s">
        <v>89</v>
      </c>
    </row>
    <row r="9" spans="1:6" x14ac:dyDescent="0.25">
      <c r="A9" t="s">
        <v>90</v>
      </c>
      <c r="B9" s="18">
        <v>84872000000</v>
      </c>
      <c r="C9" s="18">
        <v>59031000000</v>
      </c>
      <c r="D9" s="18">
        <v>99387000000</v>
      </c>
      <c r="E9" s="18">
        <v>-19553000000</v>
      </c>
      <c r="F9" s="8" t="s">
        <v>91</v>
      </c>
    </row>
    <row r="10" spans="1:6" x14ac:dyDescent="0.25">
      <c r="A10" t="s">
        <v>92</v>
      </c>
      <c r="B10" s="18">
        <v>367705000000</v>
      </c>
      <c r="C10" s="18">
        <v>335805000000</v>
      </c>
      <c r="D10" s="18">
        <v>324076000000</v>
      </c>
      <c r="E10" s="18">
        <v>318702000000</v>
      </c>
      <c r="F10" s="8" t="s">
        <v>93</v>
      </c>
    </row>
    <row r="11" spans="1:6" x14ac:dyDescent="0.25">
      <c r="A11" t="s">
        <v>94</v>
      </c>
      <c r="B11" s="18">
        <v>349579000000</v>
      </c>
      <c r="C11" s="18">
        <v>276532000000</v>
      </c>
      <c r="D11" s="18">
        <v>260932000000</v>
      </c>
      <c r="E11" s="18">
        <v>342025000000</v>
      </c>
      <c r="F11" s="8" t="s">
        <v>95</v>
      </c>
    </row>
    <row r="12" spans="1:6" x14ac:dyDescent="0.25">
      <c r="A12" t="s">
        <v>32</v>
      </c>
      <c r="B12" s="34">
        <v>1873100000</v>
      </c>
      <c r="C12" s="34">
        <v>1940100000</v>
      </c>
      <c r="D12" s="34">
        <v>1955800000</v>
      </c>
      <c r="E12" s="34">
        <v>1964300000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2026-09-19T01:03:28Z</dcterms:modified>
</cp:coreProperties>
</file>